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150" windowHeight="7590" tabRatio="746"/>
  </bookViews>
  <sheets>
    <sheet name="Budget provisoire 2013-2014" sheetId="1" r:id="rId1"/>
    <sheet name="Année financière 2013-2014" sheetId="9" r:id="rId2"/>
    <sheet name="Salaire du secrétariat" sheetId="2" r:id="rId3"/>
    <sheet name="Quotes-parts" sheetId="3" r:id="rId4"/>
    <sheet name="Repas" sheetId="4" r:id="rId5"/>
    <sheet name="Stationnement et hébergement" sheetId="5" r:id="rId6"/>
    <sheet name="Frais de représentation" sheetId="8" r:id="rId7"/>
    <sheet name="Télécommunication" sheetId="6" r:id="rId8"/>
    <sheet name="Promotion et sensibilisation" sheetId="7" r:id="rId9"/>
  </sheets>
  <calcPr calcId="145621"/>
</workbook>
</file>

<file path=xl/calcChain.xml><?xml version="1.0" encoding="utf-8"?>
<calcChain xmlns="http://schemas.openxmlformats.org/spreadsheetml/2006/main">
  <c r="N10" i="1" l="1"/>
  <c r="M10" i="1"/>
  <c r="K10" i="1"/>
  <c r="J10" i="1"/>
  <c r="L6" i="1"/>
  <c r="I6" i="1"/>
  <c r="G6" i="1"/>
  <c r="F6" i="1"/>
  <c r="L5" i="1"/>
  <c r="I5" i="1"/>
  <c r="G5" i="1"/>
  <c r="F5" i="1"/>
  <c r="L4" i="1"/>
  <c r="I4" i="1"/>
  <c r="H4" i="1"/>
  <c r="G4" i="1"/>
  <c r="F4" i="1"/>
  <c r="L3" i="1"/>
  <c r="L10" i="1" s="1"/>
  <c r="I3" i="1"/>
  <c r="H3" i="1"/>
  <c r="H10" i="1" s="1"/>
  <c r="G3" i="1"/>
  <c r="F3" i="1"/>
  <c r="H6" i="9"/>
  <c r="H5" i="9"/>
  <c r="H10" i="9" s="1"/>
  <c r="H4" i="9"/>
  <c r="H3" i="9"/>
  <c r="E6" i="9"/>
  <c r="E5" i="9"/>
  <c r="E4" i="9"/>
  <c r="E3" i="9"/>
  <c r="J10" i="9"/>
  <c r="F10" i="9"/>
  <c r="J14" i="9"/>
  <c r="J12" i="9" s="1"/>
  <c r="I14" i="9"/>
  <c r="I12" i="9" s="1"/>
  <c r="H14" i="9"/>
  <c r="H12" i="9" s="1"/>
  <c r="G14" i="9"/>
  <c r="F14" i="9"/>
  <c r="F12" i="9" s="1"/>
  <c r="E14" i="9"/>
  <c r="E12" i="9" s="1"/>
  <c r="D14" i="9"/>
  <c r="D12" i="9" s="1"/>
  <c r="C14" i="9"/>
  <c r="C12" i="9" s="1"/>
  <c r="B14" i="9"/>
  <c r="B12" i="9" s="1"/>
  <c r="G12" i="9"/>
  <c r="N12" i="1"/>
  <c r="G14" i="1"/>
  <c r="G12" i="1" s="1"/>
  <c r="F14" i="1"/>
  <c r="F12" i="1" s="1"/>
  <c r="N14" i="1"/>
  <c r="M14" i="1"/>
  <c r="M12" i="1" s="1"/>
  <c r="L14" i="1"/>
  <c r="L12" i="1" s="1"/>
  <c r="K14" i="1"/>
  <c r="K12" i="1" s="1"/>
  <c r="J14" i="1"/>
  <c r="J12" i="1" s="1"/>
  <c r="I14" i="1"/>
  <c r="I12" i="1" s="1"/>
  <c r="H14" i="1"/>
  <c r="H12" i="1" s="1"/>
  <c r="B6" i="9"/>
  <c r="B5" i="9"/>
  <c r="B3" i="9"/>
  <c r="K27" i="9"/>
  <c r="K26" i="9"/>
  <c r="K25" i="9"/>
  <c r="J24" i="9"/>
  <c r="I24" i="9"/>
  <c r="H24" i="9"/>
  <c r="G24" i="9"/>
  <c r="F24" i="9"/>
  <c r="E24" i="9"/>
  <c r="D24" i="9"/>
  <c r="C24" i="9"/>
  <c r="B24" i="9"/>
  <c r="K23" i="9"/>
  <c r="K22" i="9"/>
  <c r="J21" i="9"/>
  <c r="I21" i="9"/>
  <c r="H21" i="9"/>
  <c r="G21" i="9"/>
  <c r="F21" i="9"/>
  <c r="E21" i="9"/>
  <c r="D21" i="9"/>
  <c r="C21" i="9"/>
  <c r="B21" i="9"/>
  <c r="K20" i="9"/>
  <c r="J19" i="9"/>
  <c r="I19" i="9"/>
  <c r="H19" i="9"/>
  <c r="G19" i="9"/>
  <c r="F19" i="9"/>
  <c r="E19" i="9"/>
  <c r="D19" i="9"/>
  <c r="C19" i="9"/>
  <c r="B19" i="9"/>
  <c r="K19" i="9" s="1"/>
  <c r="K18" i="9"/>
  <c r="K17" i="9"/>
  <c r="J16" i="9"/>
  <c r="I16" i="9"/>
  <c r="H16" i="9"/>
  <c r="G16" i="9"/>
  <c r="F16" i="9"/>
  <c r="E16" i="9"/>
  <c r="D16" i="9"/>
  <c r="C16" i="9"/>
  <c r="B16" i="9"/>
  <c r="K16" i="9" s="1"/>
  <c r="K15" i="9"/>
  <c r="K13" i="9"/>
  <c r="I10" i="9"/>
  <c r="G10" i="9"/>
  <c r="K9" i="9"/>
  <c r="K8" i="9"/>
  <c r="K7" i="9"/>
  <c r="C6" i="9"/>
  <c r="C5" i="9"/>
  <c r="D4" i="9"/>
  <c r="C4" i="9"/>
  <c r="B4" i="9"/>
  <c r="D3" i="9"/>
  <c r="C3" i="9"/>
  <c r="D7" i="3"/>
  <c r="E6" i="3" s="1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O26" i="1"/>
  <c r="O25" i="1"/>
  <c r="O23" i="1"/>
  <c r="O22" i="1"/>
  <c r="O20" i="1"/>
  <c r="O18" i="1"/>
  <c r="O17" i="1"/>
  <c r="O15" i="1"/>
  <c r="O9" i="1"/>
  <c r="O8" i="1"/>
  <c r="O7" i="1"/>
  <c r="B30" i="1"/>
  <c r="B32" i="1" s="1"/>
  <c r="D6" i="1"/>
  <c r="D5" i="1"/>
  <c r="D4" i="1"/>
  <c r="D3" i="1"/>
  <c r="D24" i="1"/>
  <c r="D21" i="1"/>
  <c r="D19" i="1"/>
  <c r="D16" i="1"/>
  <c r="D12" i="1"/>
  <c r="D14" i="1" s="1"/>
  <c r="E24" i="1"/>
  <c r="E21" i="1"/>
  <c r="E19" i="1"/>
  <c r="E16" i="1"/>
  <c r="E12" i="1"/>
  <c r="E14" i="1" s="1"/>
  <c r="N16" i="1"/>
  <c r="N11" i="8"/>
  <c r="C16" i="1"/>
  <c r="M16" i="1"/>
  <c r="L16" i="1"/>
  <c r="K16" i="1"/>
  <c r="J16" i="1"/>
  <c r="I16" i="1"/>
  <c r="H16" i="1"/>
  <c r="G16" i="1"/>
  <c r="F16" i="1"/>
  <c r="F8" i="8"/>
  <c r="C10" i="8"/>
  <c r="I10" i="8"/>
  <c r="F9" i="8"/>
  <c r="F10" i="8"/>
  <c r="D7" i="8"/>
  <c r="L7" i="8"/>
  <c r="N7" i="8"/>
  <c r="J7" i="8"/>
  <c r="E7" i="8"/>
  <c r="C7" i="8"/>
  <c r="M7" i="8"/>
  <c r="K7" i="8"/>
  <c r="I7" i="8"/>
  <c r="H7" i="8"/>
  <c r="G7" i="8"/>
  <c r="F7" i="8"/>
  <c r="E5" i="8"/>
  <c r="D5" i="8"/>
  <c r="C5" i="8"/>
  <c r="N5" i="8"/>
  <c r="M5" i="8"/>
  <c r="L5" i="8"/>
  <c r="K5" i="8"/>
  <c r="H5" i="8"/>
  <c r="F5" i="8"/>
  <c r="I5" i="8"/>
  <c r="K24" i="9" l="1"/>
  <c r="O7" i="8"/>
  <c r="K6" i="9"/>
  <c r="K21" i="9"/>
  <c r="I10" i="1"/>
  <c r="G10" i="1"/>
  <c r="F10" i="1"/>
  <c r="E10" i="9"/>
  <c r="K4" i="9"/>
  <c r="B10" i="9"/>
  <c r="D10" i="9"/>
  <c r="K5" i="9"/>
  <c r="C10" i="9"/>
  <c r="K3" i="9"/>
  <c r="K12" i="9"/>
  <c r="C28" i="9"/>
  <c r="C30" i="9" s="1"/>
  <c r="E28" i="9"/>
  <c r="G28" i="9"/>
  <c r="G30" i="9" s="1"/>
  <c r="I28" i="9"/>
  <c r="I30" i="9" s="1"/>
  <c r="B28" i="9"/>
  <c r="B30" i="9" s="1"/>
  <c r="B32" i="9" s="1"/>
  <c r="D28" i="9"/>
  <c r="F28" i="9"/>
  <c r="H28" i="9"/>
  <c r="H30" i="9" s="1"/>
  <c r="J28" i="9"/>
  <c r="J30" i="9" s="1"/>
  <c r="E4" i="3"/>
  <c r="E3" i="3"/>
  <c r="E5" i="3"/>
  <c r="O4" i="1"/>
  <c r="O6" i="1"/>
  <c r="O16" i="1"/>
  <c r="O3" i="1"/>
  <c r="O5" i="1"/>
  <c r="D10" i="1"/>
  <c r="D28" i="1"/>
  <c r="E10" i="1"/>
  <c r="E28" i="1"/>
  <c r="E10" i="8"/>
  <c r="D10" i="8"/>
  <c r="N10" i="8"/>
  <c r="M10" i="8"/>
  <c r="K10" i="8"/>
  <c r="J10" i="8"/>
  <c r="H10" i="8"/>
  <c r="G10" i="8"/>
  <c r="E8" i="8"/>
  <c r="D8" i="8"/>
  <c r="N8" i="8"/>
  <c r="M8" i="8"/>
  <c r="K8" i="8"/>
  <c r="J8" i="8"/>
  <c r="H8" i="8"/>
  <c r="G8" i="8"/>
  <c r="J19" i="1"/>
  <c r="K19" i="1"/>
  <c r="L19" i="1"/>
  <c r="M19" i="1"/>
  <c r="N19" i="1"/>
  <c r="C19" i="1"/>
  <c r="I19" i="1"/>
  <c r="H19" i="1"/>
  <c r="G19" i="1"/>
  <c r="F19" i="1"/>
  <c r="G27" i="1"/>
  <c r="O27" i="1" s="1"/>
  <c r="C24" i="1"/>
  <c r="N24" i="1"/>
  <c r="M24" i="1"/>
  <c r="L24" i="1"/>
  <c r="K24" i="1"/>
  <c r="J24" i="1"/>
  <c r="I24" i="1"/>
  <c r="H24" i="1"/>
  <c r="G24" i="1"/>
  <c r="O24" i="1" s="1"/>
  <c r="F24" i="1"/>
  <c r="C21" i="1"/>
  <c r="N21" i="1"/>
  <c r="M21" i="1"/>
  <c r="L21" i="1"/>
  <c r="K21" i="1"/>
  <c r="J21" i="1"/>
  <c r="I21" i="1"/>
  <c r="H21" i="1"/>
  <c r="G21" i="1"/>
  <c r="F21" i="1"/>
  <c r="E9" i="8"/>
  <c r="D9" i="8"/>
  <c r="C9" i="8"/>
  <c r="N9" i="8"/>
  <c r="M9" i="8"/>
  <c r="L9" i="8"/>
  <c r="K9" i="8"/>
  <c r="J9" i="8"/>
  <c r="I9" i="8"/>
  <c r="H9" i="8"/>
  <c r="G9" i="8"/>
  <c r="O12" i="2"/>
  <c r="L10" i="8"/>
  <c r="J5" i="8"/>
  <c r="O5" i="8" s="1"/>
  <c r="C8" i="8"/>
  <c r="L8" i="8"/>
  <c r="I8" i="8"/>
  <c r="E11" i="8"/>
  <c r="D11" i="8"/>
  <c r="M11" i="8"/>
  <c r="L11" i="8"/>
  <c r="K11" i="8"/>
  <c r="J11" i="8"/>
  <c r="I11" i="8"/>
  <c r="H11" i="8"/>
  <c r="G11" i="8"/>
  <c r="F11" i="8"/>
  <c r="E4" i="8"/>
  <c r="D4" i="8"/>
  <c r="C4" i="8"/>
  <c r="N4" i="8"/>
  <c r="M4" i="8"/>
  <c r="L4" i="8"/>
  <c r="K4" i="8"/>
  <c r="J4" i="8"/>
  <c r="I4" i="8"/>
  <c r="H4" i="8"/>
  <c r="G4" i="8"/>
  <c r="F4" i="8"/>
  <c r="E6" i="8"/>
  <c r="D6" i="8"/>
  <c r="C6" i="8"/>
  <c r="N6" i="8"/>
  <c r="M6" i="8"/>
  <c r="L6" i="8"/>
  <c r="K6" i="8"/>
  <c r="J6" i="8"/>
  <c r="I6" i="8"/>
  <c r="H6" i="8"/>
  <c r="G6" i="8"/>
  <c r="F6" i="8"/>
  <c r="D21" i="7"/>
  <c r="C21" i="7"/>
  <c r="B21" i="7"/>
  <c r="M21" i="7"/>
  <c r="L21" i="7"/>
  <c r="K21" i="7"/>
  <c r="J21" i="7"/>
  <c r="I21" i="7"/>
  <c r="H21" i="7"/>
  <c r="G21" i="7"/>
  <c r="F21" i="7"/>
  <c r="E21" i="7"/>
  <c r="B7" i="3"/>
  <c r="C12" i="1"/>
  <c r="C14" i="1" s="1"/>
  <c r="B3" i="6"/>
  <c r="B5" i="6"/>
  <c r="B6" i="4"/>
  <c r="D3" i="2"/>
  <c r="C3" i="2"/>
  <c r="B3" i="2"/>
  <c r="M3" i="2"/>
  <c r="L3" i="2"/>
  <c r="K3" i="2"/>
  <c r="J3" i="2"/>
  <c r="I3" i="2"/>
  <c r="H3" i="2"/>
  <c r="G3" i="2"/>
  <c r="F3" i="2"/>
  <c r="E3" i="2"/>
  <c r="O19" i="1" l="1"/>
  <c r="D30" i="9"/>
  <c r="B4" i="2"/>
  <c r="N3" i="2"/>
  <c r="N4" i="2"/>
  <c r="O6" i="8"/>
  <c r="O4" i="8"/>
  <c r="O11" i="8"/>
  <c r="O8" i="8"/>
  <c r="O9" i="8"/>
  <c r="O10" i="8"/>
  <c r="E30" i="9"/>
  <c r="E7" i="3"/>
  <c r="F30" i="9"/>
  <c r="K10" i="9"/>
  <c r="K14" i="9"/>
  <c r="K28" i="9" s="1"/>
  <c r="C32" i="9"/>
  <c r="D32" i="9" s="1"/>
  <c r="C6" i="3"/>
  <c r="C4" i="3"/>
  <c r="C5" i="3"/>
  <c r="C3" i="3"/>
  <c r="O21" i="1"/>
  <c r="D30" i="1"/>
  <c r="E30" i="1"/>
  <c r="M12" i="8"/>
  <c r="F12" i="8"/>
  <c r="H12" i="8"/>
  <c r="J12" i="8"/>
  <c r="L12" i="8"/>
  <c r="D12" i="8"/>
  <c r="G12" i="8"/>
  <c r="I12" i="8"/>
  <c r="C12" i="8"/>
  <c r="E12" i="8"/>
  <c r="N21" i="7"/>
  <c r="K28" i="1"/>
  <c r="F28" i="1"/>
  <c r="M28" i="1"/>
  <c r="J28" i="1"/>
  <c r="I28" i="1"/>
  <c r="C28" i="1"/>
  <c r="H28" i="1"/>
  <c r="N28" i="1"/>
  <c r="L28" i="1"/>
  <c r="N12" i="8"/>
  <c r="K12" i="8"/>
  <c r="C7" i="3" l="1"/>
  <c r="E32" i="9"/>
  <c r="F32" i="9" s="1"/>
  <c r="G32" i="9" s="1"/>
  <c r="H32" i="9" s="1"/>
  <c r="I32" i="9" s="1"/>
  <c r="J32" i="9" s="1"/>
  <c r="K30" i="9"/>
  <c r="F30" i="1"/>
  <c r="I30" i="1"/>
  <c r="N30" i="1"/>
  <c r="J30" i="1"/>
  <c r="C10" i="1"/>
  <c r="C30" i="1" s="1"/>
  <c r="C32" i="1" s="1"/>
  <c r="D32" i="1" s="1"/>
  <c r="E32" i="1" s="1"/>
  <c r="M30" i="1"/>
  <c r="K30" i="1"/>
  <c r="F32" i="1" l="1"/>
  <c r="H30" i="1"/>
  <c r="L30" i="1"/>
  <c r="O10" i="1" l="1"/>
  <c r="O12" i="8" l="1"/>
  <c r="C4" i="2" l="1"/>
  <c r="D4" i="2" s="1"/>
  <c r="E4" i="2" s="1"/>
  <c r="F4" i="2" s="1"/>
  <c r="G4" i="2" s="1"/>
  <c r="H4" i="2" s="1"/>
  <c r="I4" i="2" s="1"/>
  <c r="J4" i="2" s="1"/>
  <c r="K4" i="2" s="1"/>
  <c r="L4" i="2" s="1"/>
  <c r="M4" i="2" s="1"/>
  <c r="O14" i="1"/>
  <c r="O12" i="1"/>
  <c r="O13" i="1"/>
  <c r="G28" i="1"/>
  <c r="G30" i="1" s="1"/>
  <c r="G32" i="1" s="1"/>
  <c r="H32" i="1" s="1"/>
  <c r="I32" i="1" s="1"/>
  <c r="J32" i="1" s="1"/>
  <c r="K32" i="1" s="1"/>
  <c r="L32" i="1" s="1"/>
  <c r="M32" i="1" s="1"/>
  <c r="N32" i="1" s="1"/>
  <c r="O28" i="1" l="1"/>
  <c r="O30" i="1" s="1"/>
</calcChain>
</file>

<file path=xl/sharedStrings.xml><?xml version="1.0" encoding="utf-8"?>
<sst xmlns="http://schemas.openxmlformats.org/spreadsheetml/2006/main" count="198" uniqueCount="94">
  <si>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</si>
  <si>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</si>
  <si>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</si>
  <si>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</si>
  <si>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</si>
  <si>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</si>
  <si>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</si>
  <si>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</si>
  <si>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</si>
  <si>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</si>
  <si>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</si>
  <si>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</si>
  <si>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Total</t>
  </si>
  <si>
    <t>Revenus</t>
  </si>
  <si>
    <t>Versement - Quote-part AÉLIÉS</t>
  </si>
  <si>
    <t>Versement - Quote-part CADEUL</t>
  </si>
  <si>
    <t>Versement - Quote-part REMDUS</t>
  </si>
  <si>
    <t>Versement - Quote-part SSMU</t>
  </si>
  <si>
    <t>Revenus - Bourses gouvernementales</t>
  </si>
  <si>
    <t>Revenus - Intérêts</t>
  </si>
  <si>
    <t>Revenus - Autres</t>
  </si>
  <si>
    <t>Total des revenus</t>
  </si>
  <si>
    <t>Dépenses</t>
  </si>
  <si>
    <t>Salaires - Secrétariat général</t>
  </si>
  <si>
    <t>Salaires - Employés</t>
  </si>
  <si>
    <t>Frais de représentation</t>
  </si>
  <si>
    <t>Promotion et sensibilisation</t>
  </si>
  <si>
    <t>Frais de réunion</t>
  </si>
  <si>
    <t>Télécommunications</t>
  </si>
  <si>
    <t>Honoraires professionnels</t>
  </si>
  <si>
    <t>Fournitures de bureau</t>
  </si>
  <si>
    <t>Camps et formations</t>
  </si>
  <si>
    <t>Assurances</t>
  </si>
  <si>
    <t>Intérêts et frais bancaires</t>
  </si>
  <si>
    <t>Frais divers</t>
  </si>
  <si>
    <t>Total des dépenses</t>
  </si>
  <si>
    <t>Surplus (déficit) net</t>
  </si>
  <si>
    <t>Surplus (déficit) net cumulé</t>
  </si>
  <si>
    <t>Salaire</t>
  </si>
  <si>
    <t>Salaire cumulatif</t>
  </si>
  <si>
    <t>2012-2013</t>
  </si>
  <si>
    <t>Répartition</t>
  </si>
  <si>
    <t>AÉLIÉS</t>
  </si>
  <si>
    <t>CADEUL</t>
  </si>
  <si>
    <t>REMDUS</t>
  </si>
  <si>
    <t>SSMU</t>
  </si>
  <si>
    <t>Repas</t>
  </si>
  <si>
    <t>Déjeuner</t>
  </si>
  <si>
    <t>Diner</t>
  </si>
  <si>
    <t>Souper</t>
  </si>
  <si>
    <t>Montant alloué</t>
  </si>
  <si>
    <t>Montréal</t>
  </si>
  <si>
    <t>Sherbrooke</t>
  </si>
  <si>
    <t>Stationnement et hébergement</t>
  </si>
  <si>
    <t>Stationnement</t>
  </si>
  <si>
    <t>Hébergement</t>
  </si>
  <si>
    <t>Québec</t>
  </si>
  <si>
    <t>Dépense par mois</t>
  </si>
  <si>
    <t>Congrès</t>
  </si>
  <si>
    <t>Promotion</t>
  </si>
  <si>
    <t>Frais - CNW</t>
  </si>
  <si>
    <t>Frais - Hébergement site web</t>
  </si>
  <si>
    <t>Impression - Affiches</t>
  </si>
  <si>
    <t>Impression - Tracts</t>
  </si>
  <si>
    <t>Impression - Bannières</t>
  </si>
  <si>
    <t>Impression - Documents de présentation</t>
  </si>
  <si>
    <t>Production - Chandail</t>
  </si>
  <si>
    <t>Production - Macarons</t>
  </si>
  <si>
    <t>Production - Vidéos</t>
  </si>
  <si>
    <t>Production - Journal</t>
  </si>
  <si>
    <t>Achat - Publicités TV</t>
  </si>
  <si>
    <t>Achat - Publicités journaux</t>
  </si>
  <si>
    <t>Achat - Publicités Facebook</t>
  </si>
  <si>
    <t>Achat - Publicités Google</t>
  </si>
  <si>
    <t>Achat - Publicités autobus</t>
  </si>
  <si>
    <t>Achat - Publicités Zoom média</t>
  </si>
  <si>
    <t>Autres</t>
  </si>
  <si>
    <t>Sous-total</t>
  </si>
  <si>
    <t>Lieu de la Table</t>
  </si>
  <si>
    <t>Déplacement</t>
  </si>
  <si>
    <t>TPU</t>
  </si>
  <si>
    <t>Représentations</t>
  </si>
  <si>
    <t>Élections</t>
  </si>
  <si>
    <t>Tournée des associations du SG</t>
  </si>
  <si>
    <t>Assurance administrateurs et S.G.</t>
  </si>
  <si>
    <t>Avantages sociaux  - S.G.</t>
  </si>
  <si>
    <t>Avantages sociaux - Employés</t>
  </si>
  <si>
    <t>Production - Cartes professionnelles</t>
  </si>
  <si>
    <t>Adresses courriel</t>
  </si>
  <si>
    <t>Montant année 2012-2013</t>
  </si>
  <si>
    <t>2013-2014</t>
  </si>
  <si>
    <t>Membres automne 2012</t>
  </si>
  <si>
    <t>Membres 2011-2012</t>
  </si>
  <si>
    <t>Cellulaires du secrétariat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</si>
</sst>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&quot;\ #,##0.00_);\(&quot;$&quot;\ #,##0.00\)"/>
    <numFmt numFmtId="166" formatCode="#,##0.00\ &quot;$&quot;"/>
    <numFmt numFmtId="167" formatCode="0.0%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3" tint="-0.499984740745262"/>
      <name val="Times New Roman"/>
      <family val="1"/>
    </font>
    <font>
      <b/>
      <sz val="12"/>
      <color theme="0"/>
      <name val="Times New Roman"/>
      <family val="1"/>
    </font>
    <font>
      <sz val="11"/>
      <color theme="4" tint="0.59999389629810485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Helvetica Neue Light"/>
    </font>
    <font>
      <b/>
      <sz val="10"/>
      <color theme="1"/>
      <name val="Helvetica Neue"/>
    </font>
    <font>
      <b/>
      <sz val="10"/>
      <name val="Helvetica Neue"/>
    </font>
    <font>
      <b/>
      <sz val="10"/>
      <color theme="0"/>
      <name val="Helvetica Neue"/>
    </font>
    <font>
      <sz val="10"/>
      <color indexed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6E6"/>
        <bgColor rgb="FF000000"/>
      </patternFill>
    </fill>
    <fill>
      <patternFill patternType="solid">
        <fgColor rgb="FF003C5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E6E6E6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0" fillId="5" borderId="0" xfId="0" applyFill="1"/>
    <xf numFmtId="0" fontId="0" fillId="2" borderId="0" xfId="0" applyFill="1"/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/>
    </xf>
    <xf numFmtId="166" fontId="1" fillId="7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5" fontId="2" fillId="5" borderId="1" xfId="0" applyNumberFormat="1" applyFont="1" applyFill="1" applyBorder="1" applyAlignment="1">
      <alignment vertical="center"/>
    </xf>
    <xf numFmtId="0" fontId="10" fillId="8" borderId="1" xfId="0" applyNumberFormat="1" applyFont="1" applyFill="1" applyBorder="1" applyAlignment="1">
      <alignment horizontal="center" vertical="top"/>
    </xf>
    <xf numFmtId="0" fontId="9" fillId="9" borderId="1" xfId="0" applyNumberFormat="1" applyFont="1" applyFill="1" applyBorder="1" applyAlignment="1">
      <alignment horizontal="center" vertical="top"/>
    </xf>
    <xf numFmtId="0" fontId="8" fillId="14" borderId="1" xfId="0" applyNumberFormat="1" applyFont="1" applyFill="1" applyBorder="1" applyAlignment="1">
      <alignment vertical="top"/>
    </xf>
    <xf numFmtId="3" fontId="8" fillId="13" borderId="1" xfId="0" applyNumberFormat="1" applyFont="1" applyFill="1" applyBorder="1" applyAlignment="1">
      <alignment vertical="top"/>
    </xf>
    <xf numFmtId="0" fontId="8" fillId="15" borderId="1" xfId="0" applyNumberFormat="1" applyFont="1" applyFill="1" applyBorder="1" applyAlignment="1">
      <alignment vertical="top"/>
    </xf>
    <xf numFmtId="0" fontId="9" fillId="9" borderId="1" xfId="0" applyFont="1" applyFill="1" applyBorder="1" applyAlignment="1">
      <alignment horizontal="center" vertical="top"/>
    </xf>
    <xf numFmtId="0" fontId="8" fillId="12" borderId="1" xfId="0" applyNumberFormat="1" applyFont="1" applyFill="1" applyBorder="1" applyAlignment="1">
      <alignment vertical="top"/>
    </xf>
    <xf numFmtId="0" fontId="9" fillId="12" borderId="1" xfId="0" applyNumberFormat="1" applyFont="1" applyFill="1" applyBorder="1" applyAlignment="1">
      <alignment vertical="top"/>
    </xf>
    <xf numFmtId="0" fontId="10" fillId="11" borderId="4" xfId="0" applyNumberFormat="1" applyFont="1" applyFill="1" applyBorder="1" applyAlignment="1">
      <alignment horizontal="center" vertical="top"/>
    </xf>
    <xf numFmtId="0" fontId="9" fillId="9" borderId="5" xfId="0" applyNumberFormat="1" applyFont="1" applyFill="1" applyBorder="1" applyAlignment="1">
      <alignment horizontal="center" vertical="top"/>
    </xf>
    <xf numFmtId="0" fontId="9" fillId="16" borderId="1" xfId="0" applyNumberFormat="1" applyFont="1" applyFill="1" applyBorder="1" applyAlignment="1">
      <alignment vertical="top"/>
    </xf>
    <xf numFmtId="164" fontId="8" fillId="12" borderId="1" xfId="1" applyFont="1" applyFill="1" applyBorder="1" applyAlignment="1">
      <alignment vertical="top"/>
    </xf>
    <xf numFmtId="167" fontId="8" fillId="13" borderId="1" xfId="2" applyNumberFormat="1" applyFont="1" applyFill="1" applyBorder="1" applyAlignment="1">
      <alignment vertical="top"/>
    </xf>
    <xf numFmtId="164" fontId="8" fillId="13" borderId="1" xfId="1" applyFont="1" applyFill="1" applyBorder="1" applyAlignment="1">
      <alignment vertical="top"/>
    </xf>
    <xf numFmtId="164" fontId="9" fillId="16" borderId="1" xfId="1" applyFont="1" applyFill="1" applyBorder="1" applyAlignment="1">
      <alignment vertical="top"/>
    </xf>
    <xf numFmtId="164" fontId="8" fillId="13" borderId="1" xfId="1" applyFont="1" applyFill="1" applyBorder="1" applyAlignment="1">
      <alignment vertical="center"/>
    </xf>
    <xf numFmtId="164" fontId="9" fillId="13" borderId="1" xfId="1" applyFont="1" applyFill="1" applyBorder="1" applyAlignment="1">
      <alignment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 wrapText="1"/>
    </xf>
    <xf numFmtId="0" fontId="12" fillId="18" borderId="1" xfId="0" applyNumberFormat="1" applyFont="1" applyFill="1" applyBorder="1" applyAlignment="1">
      <alignment vertical="center"/>
    </xf>
    <xf numFmtId="0" fontId="12" fillId="18" borderId="1" xfId="0" applyNumberFormat="1" applyFont="1" applyFill="1" applyBorder="1" applyAlignment="1"/>
    <xf numFmtId="0" fontId="13" fillId="18" borderId="1" xfId="0" applyNumberFormat="1" applyFont="1" applyFill="1" applyBorder="1" applyAlignment="1">
      <alignment vertical="center"/>
    </xf>
    <xf numFmtId="164" fontId="1" fillId="7" borderId="1" xfId="1" applyFont="1" applyFill="1" applyBorder="1" applyAlignment="1">
      <alignment horizontal="center" vertical="center"/>
    </xf>
    <xf numFmtId="164" fontId="2" fillId="7" borderId="1" xfId="1" applyFont="1" applyFill="1" applyBorder="1" applyAlignment="1">
      <alignment vertical="center"/>
    </xf>
    <xf numFmtId="164" fontId="1" fillId="20" borderId="1" xfId="1" applyFont="1" applyFill="1" applyBorder="1" applyAlignment="1">
      <alignment vertical="center"/>
    </xf>
    <xf numFmtId="164" fontId="1" fillId="7" borderId="1" xfId="1" applyFont="1" applyFill="1" applyBorder="1" applyAlignment="1">
      <alignment vertical="center"/>
    </xf>
    <xf numFmtId="164" fontId="1" fillId="7" borderId="1" xfId="1" applyFont="1" applyFill="1" applyBorder="1" applyAlignment="1"/>
    <xf numFmtId="164" fontId="1" fillId="20" borderId="7" xfId="1" applyFont="1" applyFill="1" applyBorder="1" applyAlignment="1">
      <alignment vertical="center"/>
    </xf>
    <xf numFmtId="164" fontId="1" fillId="7" borderId="7" xfId="1" applyFont="1" applyFill="1" applyBorder="1" applyAlignment="1">
      <alignment vertical="center"/>
    </xf>
    <xf numFmtId="164" fontId="2" fillId="7" borderId="7" xfId="1" applyFont="1" applyFill="1" applyBorder="1" applyAlignment="1">
      <alignment vertical="center"/>
    </xf>
    <xf numFmtId="164" fontId="1" fillId="3" borderId="6" xfId="1" applyFont="1" applyFill="1" applyBorder="1" applyAlignment="1">
      <alignment vertical="center"/>
    </xf>
    <xf numFmtId="164" fontId="2" fillId="3" borderId="6" xfId="1" applyFont="1" applyFill="1" applyBorder="1" applyAlignment="1">
      <alignment vertical="center"/>
    </xf>
    <xf numFmtId="164" fontId="1" fillId="3" borderId="1" xfId="1" applyFont="1" applyFill="1" applyBorder="1" applyAlignment="1">
      <alignment vertical="center"/>
    </xf>
    <xf numFmtId="164" fontId="2" fillId="3" borderId="1" xfId="1" applyFont="1" applyFill="1" applyBorder="1" applyAlignment="1">
      <alignment vertical="center"/>
    </xf>
    <xf numFmtId="164" fontId="2" fillId="18" borderId="1" xfId="1" applyFont="1" applyFill="1" applyBorder="1" applyAlignment="1">
      <alignment horizontal="center" vertical="center" wrapText="1"/>
    </xf>
    <xf numFmtId="164" fontId="8" fillId="8" borderId="1" xfId="1" applyFont="1" applyFill="1" applyBorder="1" applyAlignment="1">
      <alignment horizontal="center" vertical="center"/>
    </xf>
    <xf numFmtId="164" fontId="9" fillId="9" borderId="1" xfId="1" applyFont="1" applyFill="1" applyBorder="1" applyAlignment="1">
      <alignment horizontal="center" vertical="center" wrapText="1"/>
    </xf>
    <xf numFmtId="164" fontId="17" fillId="0" borderId="0" xfId="1" applyFont="1"/>
    <xf numFmtId="164" fontId="8" fillId="9" borderId="1" xfId="1" applyFont="1" applyFill="1" applyBorder="1" applyAlignment="1">
      <alignment vertical="center"/>
    </xf>
    <xf numFmtId="164" fontId="17" fillId="0" borderId="0" xfId="1" applyFont="1" applyBorder="1"/>
    <xf numFmtId="164" fontId="17" fillId="0" borderId="0" xfId="1" applyFont="1" applyFill="1" applyBorder="1"/>
    <xf numFmtId="164" fontId="17" fillId="0" borderId="0" xfId="1" applyFont="1" applyFill="1"/>
    <xf numFmtId="164" fontId="7" fillId="3" borderId="1" xfId="1" applyFont="1" applyFill="1" applyBorder="1" applyAlignment="1">
      <alignment vertical="center"/>
    </xf>
    <xf numFmtId="164" fontId="18" fillId="3" borderId="1" xfId="1" applyFont="1" applyFill="1" applyBorder="1" applyAlignment="1">
      <alignment vertical="center"/>
    </xf>
    <xf numFmtId="164" fontId="7" fillId="3" borderId="1" xfId="1" applyFont="1" applyFill="1" applyBorder="1" applyAlignment="1"/>
    <xf numFmtId="164" fontId="7" fillId="3" borderId="1" xfId="1" applyFont="1" applyFill="1" applyBorder="1" applyAlignment="1">
      <alignment vertical="top"/>
    </xf>
    <xf numFmtId="0" fontId="2" fillId="21" borderId="1" xfId="0" applyNumberFormat="1" applyFont="1" applyFill="1" applyBorder="1" applyAlignment="1">
      <alignment horizontal="center" vertical="center" wrapText="1"/>
    </xf>
    <xf numFmtId="166" fontId="1" fillId="21" borderId="1" xfId="0" applyNumberFormat="1" applyFont="1" applyFill="1" applyBorder="1" applyAlignment="1">
      <alignment vertical="center"/>
    </xf>
    <xf numFmtId="166" fontId="2" fillId="21" borderId="1" xfId="0" applyNumberFormat="1" applyFont="1" applyFill="1" applyBorder="1" applyAlignment="1">
      <alignment vertical="center"/>
    </xf>
    <xf numFmtId="166" fontId="2" fillId="21" borderId="1" xfId="1" applyNumberFormat="1" applyFont="1" applyFill="1" applyBorder="1" applyAlignment="1">
      <alignment vertical="center"/>
    </xf>
    <xf numFmtId="0" fontId="0" fillId="21" borderId="0" xfId="0" applyFill="1"/>
    <xf numFmtId="0" fontId="3" fillId="21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vertical="center"/>
    </xf>
    <xf numFmtId="166" fontId="1" fillId="21" borderId="1" xfId="1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0" fontId="10" fillId="10" borderId="1" xfId="0" applyNumberFormat="1" applyFont="1" applyFill="1" applyBorder="1" applyAlignment="1">
      <alignment horizontal="center" vertical="top"/>
    </xf>
    <xf numFmtId="164" fontId="1" fillId="20" borderId="1" xfId="1" applyFont="1" applyFill="1" applyBorder="1" applyAlignment="1">
      <alignment vertical="center"/>
    </xf>
    <xf numFmtId="164" fontId="2" fillId="20" borderId="1" xfId="1" applyFont="1" applyFill="1" applyBorder="1" applyAlignment="1">
      <alignment vertical="center"/>
    </xf>
    <xf numFmtId="164" fontId="16" fillId="4" borderId="1" xfId="1" applyFont="1" applyFill="1" applyBorder="1" applyAlignment="1">
      <alignment horizontal="center" vertical="center"/>
    </xf>
    <xf numFmtId="164" fontId="6" fillId="19" borderId="1" xfId="1" applyFont="1" applyFill="1" applyBorder="1" applyAlignment="1">
      <alignment horizontal="center" vertical="center"/>
    </xf>
    <xf numFmtId="164" fontId="1" fillId="20" borderId="1" xfId="1" applyFont="1" applyFill="1" applyBorder="1" applyAlignment="1"/>
    <xf numFmtId="164" fontId="1" fillId="20" borderId="7" xfId="1" applyFont="1" applyFill="1" applyBorder="1" applyAlignment="1"/>
    <xf numFmtId="164" fontId="1" fillId="20" borderId="6" xfId="1" applyFont="1" applyFill="1" applyBorder="1" applyAlignment="1">
      <alignment vertical="center"/>
    </xf>
    <xf numFmtId="0" fontId="15" fillId="17" borderId="1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view="pageBreakPreview" topLeftCell="A4" zoomScale="110" zoomScaleNormal="100" zoomScaleSheetLayoutView="110" workbookViewId="0">
      <selection activeCell="A29" sqref="A29:O29"/>
    </sheetView>
  </sheetViews>
  <sheetFormatPr defaultColWidth="11.42578125" defaultRowHeight="15"/>
  <cols>
    <col min="1" max="1" width="30.7109375" style="2" customWidth="1"/>
    <col min="2" max="3" width="20.85546875" style="65" customWidth="1"/>
    <col min="4" max="4" width="13.140625" style="65" customWidth="1"/>
    <col min="5" max="5" width="13.42578125" style="65" customWidth="1"/>
    <col min="6" max="6" width="15.42578125" bestFit="1" customWidth="1"/>
    <col min="7" max="7" width="14.85546875" bestFit="1" customWidth="1"/>
    <col min="8" max="8" width="14.140625" bestFit="1" customWidth="1"/>
    <col min="9" max="9" width="14.85546875" bestFit="1" customWidth="1"/>
    <col min="10" max="10" width="14.140625" bestFit="1" customWidth="1"/>
    <col min="11" max="11" width="14.7109375" bestFit="1" customWidth="1"/>
    <col min="12" max="12" width="14.85546875" bestFit="1" customWidth="1"/>
    <col min="13" max="14" width="14.140625" bestFit="1" customWidth="1"/>
    <col min="15" max="15" width="15.140625" style="10" bestFit="1" customWidth="1"/>
  </cols>
  <sheetData>
    <row r="1" spans="1:15">
      <c r="A1" s="8"/>
      <c r="B1" s="66" t="s">
        <v>89</v>
      </c>
      <c r="C1" s="61" t="s">
        <v>9</v>
      </c>
      <c r="D1" s="61" t="s">
        <v>10</v>
      </c>
      <c r="E1" s="61" t="s">
        <v>11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12</v>
      </c>
    </row>
    <row r="2" spans="1:1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>
      <c r="A3" s="67" t="s">
        <v>14</v>
      </c>
      <c r="B3" s="68">
        <v>0</v>
      </c>
      <c r="C3" s="62">
        <v>0</v>
      </c>
      <c r="D3" s="62">
        <f>7500*15%</f>
        <v>1125</v>
      </c>
      <c r="E3" s="62">
        <v>0</v>
      </c>
      <c r="F3" s="5">
        <f>(5500*15.6%)*4</f>
        <v>3432</v>
      </c>
      <c r="G3" s="5">
        <f>0</f>
        <v>0</v>
      </c>
      <c r="H3" s="5">
        <f>0</f>
        <v>0</v>
      </c>
      <c r="I3" s="5">
        <f>(4000*15.6%)*3</f>
        <v>1872</v>
      </c>
      <c r="J3" s="5">
        <v>0</v>
      </c>
      <c r="K3" s="5">
        <v>0</v>
      </c>
      <c r="L3" s="5">
        <f>(4000*15.6%)*3</f>
        <v>1872</v>
      </c>
      <c r="M3" s="5">
        <v>0</v>
      </c>
      <c r="N3" s="5">
        <v>0</v>
      </c>
      <c r="O3" s="9">
        <f t="shared" ref="O3:O9" si="0">SUM(B3:N3)</f>
        <v>8301</v>
      </c>
    </row>
    <row r="4" spans="1:15">
      <c r="A4" s="67" t="s">
        <v>15</v>
      </c>
      <c r="B4" s="68">
        <v>0</v>
      </c>
      <c r="C4" s="62">
        <v>0</v>
      </c>
      <c r="D4" s="62">
        <f>7500*42.3%</f>
        <v>3172.5</v>
      </c>
      <c r="E4" s="62">
        <v>0</v>
      </c>
      <c r="F4" s="5">
        <f xml:space="preserve"> (5500*42.3%)*4</f>
        <v>9306</v>
      </c>
      <c r="G4" s="5">
        <f>0</f>
        <v>0</v>
      </c>
      <c r="H4" s="5">
        <f>0</f>
        <v>0</v>
      </c>
      <c r="I4" s="5">
        <f xml:space="preserve"> (4000*42.3%)*3</f>
        <v>5076</v>
      </c>
      <c r="J4" s="5">
        <v>0</v>
      </c>
      <c r="K4" s="5">
        <v>0</v>
      </c>
      <c r="L4" s="5">
        <f xml:space="preserve"> (4000*42.3%)*3</f>
        <v>5076</v>
      </c>
      <c r="M4" s="5">
        <v>0</v>
      </c>
      <c r="N4" s="5">
        <v>0</v>
      </c>
      <c r="O4" s="9">
        <f t="shared" si="0"/>
        <v>22630.5</v>
      </c>
    </row>
    <row r="5" spans="1:15">
      <c r="A5" s="67" t="s">
        <v>16</v>
      </c>
      <c r="B5" s="68">
        <v>0</v>
      </c>
      <c r="C5" s="62">
        <v>0</v>
      </c>
      <c r="D5" s="62">
        <f>7500*9.2%</f>
        <v>690</v>
      </c>
      <c r="E5" s="62">
        <v>0</v>
      </c>
      <c r="F5" s="5">
        <f xml:space="preserve"> (5500*10.6%)*4</f>
        <v>2332</v>
      </c>
      <c r="G5" s="5">
        <f>0</f>
        <v>0</v>
      </c>
      <c r="H5" s="5">
        <v>0</v>
      </c>
      <c r="I5" s="5">
        <f xml:space="preserve"> (4000*10.6%)*3</f>
        <v>1272</v>
      </c>
      <c r="J5" s="5">
        <v>0</v>
      </c>
      <c r="K5" s="5">
        <v>0</v>
      </c>
      <c r="L5" s="5">
        <f xml:space="preserve"> (4000*10.6%)*3</f>
        <v>1272</v>
      </c>
      <c r="M5" s="5">
        <v>0</v>
      </c>
      <c r="N5" s="5">
        <v>0</v>
      </c>
      <c r="O5" s="9">
        <f t="shared" si="0"/>
        <v>5566</v>
      </c>
    </row>
    <row r="6" spans="1:15">
      <c r="A6" s="67" t="s">
        <v>17</v>
      </c>
      <c r="B6" s="68">
        <v>0</v>
      </c>
      <c r="C6" s="62">
        <v>0</v>
      </c>
      <c r="D6" s="62">
        <f>7500*33.5%</f>
        <v>2512.5</v>
      </c>
      <c r="E6" s="62">
        <v>0</v>
      </c>
      <c r="F6" s="5">
        <f xml:space="preserve"> (5500*31.5%)*4</f>
        <v>6930</v>
      </c>
      <c r="G6" s="5">
        <f>0</f>
        <v>0</v>
      </c>
      <c r="H6" s="5">
        <v>0</v>
      </c>
      <c r="I6" s="5">
        <f xml:space="preserve"> (4000*31.5%)*3</f>
        <v>3780</v>
      </c>
      <c r="J6" s="5">
        <v>0</v>
      </c>
      <c r="K6" s="5">
        <v>0</v>
      </c>
      <c r="L6" s="5">
        <f xml:space="preserve"> (4000*31.5%)*3</f>
        <v>3780</v>
      </c>
      <c r="M6" s="5">
        <v>0</v>
      </c>
      <c r="N6" s="5">
        <v>0</v>
      </c>
      <c r="O6" s="9">
        <f t="shared" si="0"/>
        <v>17002.5</v>
      </c>
    </row>
    <row r="7" spans="1:15">
      <c r="A7" s="67" t="s">
        <v>18</v>
      </c>
      <c r="B7" s="68">
        <v>0</v>
      </c>
      <c r="C7" s="62">
        <v>0</v>
      </c>
      <c r="D7" s="62">
        <v>0</v>
      </c>
      <c r="E7" s="62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9">
        <f t="shared" si="0"/>
        <v>0</v>
      </c>
    </row>
    <row r="8" spans="1:15">
      <c r="A8" s="67" t="s">
        <v>19</v>
      </c>
      <c r="B8" s="68">
        <v>0</v>
      </c>
      <c r="C8" s="62">
        <v>0</v>
      </c>
      <c r="D8" s="62">
        <v>0</v>
      </c>
      <c r="E8" s="62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9">
        <f t="shared" si="0"/>
        <v>0</v>
      </c>
    </row>
    <row r="9" spans="1:15">
      <c r="A9" s="67" t="s">
        <v>20</v>
      </c>
      <c r="B9" s="68">
        <v>0</v>
      </c>
      <c r="C9" s="62">
        <v>0</v>
      </c>
      <c r="D9" s="62">
        <v>0</v>
      </c>
      <c r="E9" s="62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9">
        <f t="shared" si="0"/>
        <v>0</v>
      </c>
    </row>
    <row r="10" spans="1:15" s="1" customFormat="1">
      <c r="A10" s="7" t="s">
        <v>21</v>
      </c>
      <c r="B10" s="64">
        <v>1000</v>
      </c>
      <c r="C10" s="63">
        <f>SUM(C3:C9)</f>
        <v>0</v>
      </c>
      <c r="D10" s="63">
        <f t="shared" ref="D10" si="1">SUM(D3:D9)</f>
        <v>7500</v>
      </c>
      <c r="E10" s="63">
        <f t="shared" ref="E10" si="2">SUM(E3:E9)</f>
        <v>0</v>
      </c>
      <c r="F10" s="7">
        <f t="shared" ref="F10:N10" si="3">SUM(F3:F9)</f>
        <v>22000</v>
      </c>
      <c r="G10" s="7">
        <f>SUM(G3:G9)</f>
        <v>0</v>
      </c>
      <c r="H10" s="7">
        <f t="shared" si="3"/>
        <v>0</v>
      </c>
      <c r="I10" s="7">
        <f t="shared" si="3"/>
        <v>12000</v>
      </c>
      <c r="J10" s="7">
        <f t="shared" si="3"/>
        <v>0</v>
      </c>
      <c r="K10" s="7">
        <f t="shared" si="3"/>
        <v>0</v>
      </c>
      <c r="L10" s="7">
        <f t="shared" si="3"/>
        <v>12000</v>
      </c>
      <c r="M10" s="7">
        <f t="shared" si="3"/>
        <v>0</v>
      </c>
      <c r="N10" s="7">
        <f t="shared" si="3"/>
        <v>0</v>
      </c>
      <c r="O10" s="7">
        <f t="shared" ref="O10" si="4">SUM(O3:O9)</f>
        <v>53500</v>
      </c>
    </row>
    <row r="11" spans="1:15">
      <c r="A11" s="69" t="s">
        <v>22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>
      <c r="A12" s="67" t="s">
        <v>23</v>
      </c>
      <c r="B12" s="68">
        <v>0</v>
      </c>
      <c r="C12" s="62">
        <f t="shared" ref="C12:E12" si="5">30000/12</f>
        <v>2500</v>
      </c>
      <c r="D12" s="62">
        <f t="shared" si="5"/>
        <v>2500</v>
      </c>
      <c r="E12" s="62">
        <f t="shared" si="5"/>
        <v>2500</v>
      </c>
      <c r="F12" s="5">
        <f t="shared" ref="F12:N12" si="6">30000/12 - F14</f>
        <v>2345.9375</v>
      </c>
      <c r="G12" s="5">
        <f t="shared" si="6"/>
        <v>2345.9375</v>
      </c>
      <c r="H12" s="5">
        <f t="shared" si="6"/>
        <v>2345.9375</v>
      </c>
      <c r="I12" s="5">
        <f t="shared" si="6"/>
        <v>2345.9375</v>
      </c>
      <c r="J12" s="5">
        <f t="shared" si="6"/>
        <v>2345.9375</v>
      </c>
      <c r="K12" s="5">
        <f t="shared" si="6"/>
        <v>2345.9375</v>
      </c>
      <c r="L12" s="5">
        <f t="shared" si="6"/>
        <v>2345.9375</v>
      </c>
      <c r="M12" s="5">
        <f t="shared" si="6"/>
        <v>2345.9375</v>
      </c>
      <c r="N12" s="5">
        <f t="shared" si="6"/>
        <v>2345.9375</v>
      </c>
      <c r="O12" s="9">
        <f t="shared" ref="O12:O27" si="7">SUM(B12:N12)</f>
        <v>28613.4375</v>
      </c>
    </row>
    <row r="13" spans="1:15">
      <c r="A13" s="67" t="s">
        <v>24</v>
      </c>
      <c r="B13" s="68">
        <v>0</v>
      </c>
      <c r="C13" s="62">
        <v>0</v>
      </c>
      <c r="D13" s="62">
        <v>0</v>
      </c>
      <c r="E13" s="62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9">
        <f t="shared" si="7"/>
        <v>0</v>
      </c>
    </row>
    <row r="14" spans="1:15">
      <c r="A14" s="67" t="s">
        <v>85</v>
      </c>
      <c r="B14" s="68">
        <v>0</v>
      </c>
      <c r="C14" s="62">
        <f>0.061625*C12</f>
        <v>154.0625</v>
      </c>
      <c r="D14" s="62">
        <f t="shared" ref="D14" si="8">0.061625*D12</f>
        <v>154.0625</v>
      </c>
      <c r="E14" s="62">
        <f t="shared" ref="E14" si="9">0.061625*E12</f>
        <v>154.0625</v>
      </c>
      <c r="F14" s="5">
        <f t="shared" ref="F14:N14" si="10">0.061625*2500</f>
        <v>154.0625</v>
      </c>
      <c r="G14" s="5">
        <f t="shared" si="10"/>
        <v>154.0625</v>
      </c>
      <c r="H14" s="5">
        <f t="shared" si="10"/>
        <v>154.0625</v>
      </c>
      <c r="I14" s="5">
        <f t="shared" si="10"/>
        <v>154.0625</v>
      </c>
      <c r="J14" s="5">
        <f t="shared" si="10"/>
        <v>154.0625</v>
      </c>
      <c r="K14" s="5">
        <f t="shared" si="10"/>
        <v>154.0625</v>
      </c>
      <c r="L14" s="5">
        <f t="shared" si="10"/>
        <v>154.0625</v>
      </c>
      <c r="M14" s="5">
        <f t="shared" si="10"/>
        <v>154.0625</v>
      </c>
      <c r="N14" s="5">
        <f t="shared" si="10"/>
        <v>154.0625</v>
      </c>
      <c r="O14" s="9">
        <f t="shared" si="7"/>
        <v>1848.75</v>
      </c>
    </row>
    <row r="15" spans="1:15">
      <c r="A15" s="67" t="s">
        <v>86</v>
      </c>
      <c r="B15" s="68">
        <v>0</v>
      </c>
      <c r="C15" s="62">
        <v>0</v>
      </c>
      <c r="D15" s="62">
        <v>0</v>
      </c>
      <c r="E15" s="62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9">
        <f t="shared" si="7"/>
        <v>0</v>
      </c>
    </row>
    <row r="16" spans="1:15">
      <c r="A16" s="67" t="s">
        <v>25</v>
      </c>
      <c r="B16" s="68">
        <v>0</v>
      </c>
      <c r="C16" s="62">
        <f>1142.5</f>
        <v>1142.5</v>
      </c>
      <c r="D16" s="62">
        <f>986.5</f>
        <v>986.5</v>
      </c>
      <c r="E16" s="62">
        <f>941.5</f>
        <v>941.5</v>
      </c>
      <c r="F16" s="5">
        <f>1253.5</f>
        <v>1253.5</v>
      </c>
      <c r="G16" s="5">
        <f>941.5</f>
        <v>941.5</v>
      </c>
      <c r="H16" s="5">
        <f>986.5</f>
        <v>986.5</v>
      </c>
      <c r="I16" s="5">
        <f>1142.5</f>
        <v>1142.5</v>
      </c>
      <c r="J16" s="5">
        <f>1052.5</f>
        <v>1052.5</v>
      </c>
      <c r="K16" s="5">
        <f>941.5</f>
        <v>941.5</v>
      </c>
      <c r="L16" s="5">
        <f>986.5</f>
        <v>986.5</v>
      </c>
      <c r="M16" s="5">
        <f>941.5</f>
        <v>941.5</v>
      </c>
      <c r="N16" s="5">
        <f>1552.5</f>
        <v>1552.5</v>
      </c>
      <c r="O16" s="9">
        <f t="shared" si="7"/>
        <v>12869</v>
      </c>
    </row>
    <row r="17" spans="1:30">
      <c r="A17" s="67" t="s">
        <v>26</v>
      </c>
      <c r="B17" s="68">
        <v>0</v>
      </c>
      <c r="C17" s="62">
        <v>240</v>
      </c>
      <c r="D17" s="62">
        <v>200</v>
      </c>
      <c r="E17" s="62">
        <v>525</v>
      </c>
      <c r="F17" s="5">
        <v>200</v>
      </c>
      <c r="G17" s="5">
        <v>0</v>
      </c>
      <c r="H17" s="5">
        <v>200</v>
      </c>
      <c r="I17" s="5">
        <v>200</v>
      </c>
      <c r="J17" s="5">
        <v>200</v>
      </c>
      <c r="K17" s="5">
        <v>0</v>
      </c>
      <c r="L17" s="5">
        <v>200</v>
      </c>
      <c r="M17" s="5">
        <v>200</v>
      </c>
      <c r="N17" s="5">
        <v>400</v>
      </c>
      <c r="O17" s="9">
        <f t="shared" si="7"/>
        <v>2565</v>
      </c>
    </row>
    <row r="18" spans="1:30">
      <c r="A18" s="67" t="s">
        <v>27</v>
      </c>
      <c r="B18" s="68">
        <v>0</v>
      </c>
      <c r="C18" s="62">
        <v>0</v>
      </c>
      <c r="D18" s="62">
        <v>0</v>
      </c>
      <c r="E18" s="62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9">
        <f t="shared" si="7"/>
        <v>0</v>
      </c>
    </row>
    <row r="19" spans="1:30">
      <c r="A19" s="67" t="s">
        <v>28</v>
      </c>
      <c r="B19" s="68">
        <v>0</v>
      </c>
      <c r="C19" s="62">
        <f t="shared" ref="C19:N19" si="11">166.67</f>
        <v>166.67</v>
      </c>
      <c r="D19" s="62">
        <f t="shared" ref="D19" si="12">166.67</f>
        <v>166.67</v>
      </c>
      <c r="E19" s="62">
        <f t="shared" ref="E19" si="13">166.67</f>
        <v>166.67</v>
      </c>
      <c r="F19" s="5">
        <f>166.66</f>
        <v>166.66</v>
      </c>
      <c r="G19" s="5">
        <f>166.66</f>
        <v>166.66</v>
      </c>
      <c r="H19" s="5">
        <f>166.66</f>
        <v>166.66</v>
      </c>
      <c r="I19" s="5">
        <f>166.66</f>
        <v>166.66</v>
      </c>
      <c r="J19" s="5">
        <f t="shared" si="11"/>
        <v>166.67</v>
      </c>
      <c r="K19" s="5">
        <f t="shared" si="11"/>
        <v>166.67</v>
      </c>
      <c r="L19" s="5">
        <f t="shared" si="11"/>
        <v>166.67</v>
      </c>
      <c r="M19" s="5">
        <f t="shared" si="11"/>
        <v>166.67</v>
      </c>
      <c r="N19" s="5">
        <f t="shared" si="11"/>
        <v>166.67</v>
      </c>
      <c r="O19" s="9">
        <f t="shared" si="7"/>
        <v>2000.0000000000002</v>
      </c>
    </row>
    <row r="20" spans="1:30">
      <c r="A20" s="67" t="s">
        <v>29</v>
      </c>
      <c r="B20" s="68">
        <v>0</v>
      </c>
      <c r="C20" s="62">
        <v>75</v>
      </c>
      <c r="D20" s="62">
        <v>75</v>
      </c>
      <c r="E20" s="62">
        <v>75</v>
      </c>
      <c r="F20" s="5">
        <v>75</v>
      </c>
      <c r="G20" s="5">
        <v>75</v>
      </c>
      <c r="H20" s="5">
        <v>75</v>
      </c>
      <c r="I20" s="5">
        <v>75</v>
      </c>
      <c r="J20" s="5">
        <v>75</v>
      </c>
      <c r="K20" s="5">
        <v>75</v>
      </c>
      <c r="L20" s="5">
        <v>75</v>
      </c>
      <c r="M20" s="5">
        <v>75</v>
      </c>
      <c r="N20" s="5">
        <v>1075</v>
      </c>
      <c r="O20" s="9">
        <f t="shared" si="7"/>
        <v>1900</v>
      </c>
    </row>
    <row r="21" spans="1:30">
      <c r="A21" s="67" t="s">
        <v>30</v>
      </c>
      <c r="B21" s="68">
        <v>0</v>
      </c>
      <c r="C21" s="62">
        <f>30</f>
        <v>30</v>
      </c>
      <c r="D21" s="62">
        <f>30</f>
        <v>30</v>
      </c>
      <c r="E21" s="62">
        <f>30</f>
        <v>30</v>
      </c>
      <c r="F21" s="5">
        <f>30</f>
        <v>30</v>
      </c>
      <c r="G21" s="5">
        <f>30</f>
        <v>30</v>
      </c>
      <c r="H21" s="5">
        <f>30</f>
        <v>30</v>
      </c>
      <c r="I21" s="5">
        <f>30</f>
        <v>30</v>
      </c>
      <c r="J21" s="5">
        <f>30</f>
        <v>30</v>
      </c>
      <c r="K21" s="5">
        <f>30</f>
        <v>30</v>
      </c>
      <c r="L21" s="5">
        <f>30</f>
        <v>30</v>
      </c>
      <c r="M21" s="5">
        <f>30</f>
        <v>30</v>
      </c>
      <c r="N21" s="5">
        <f>30</f>
        <v>30</v>
      </c>
      <c r="O21" s="9">
        <f t="shared" si="7"/>
        <v>360</v>
      </c>
    </row>
    <row r="22" spans="1:30">
      <c r="A22" s="67" t="s">
        <v>31</v>
      </c>
      <c r="B22" s="68">
        <v>0</v>
      </c>
      <c r="C22" s="62">
        <v>120</v>
      </c>
      <c r="D22" s="62">
        <v>0</v>
      </c>
      <c r="E22" s="62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9">
        <f t="shared" si="7"/>
        <v>120</v>
      </c>
    </row>
    <row r="23" spans="1:30">
      <c r="A23" s="67" t="s">
        <v>32</v>
      </c>
      <c r="B23" s="68">
        <v>0</v>
      </c>
      <c r="C23" s="62">
        <v>0</v>
      </c>
      <c r="D23" s="62">
        <v>0</v>
      </c>
      <c r="E23" s="62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9">
        <f t="shared" si="7"/>
        <v>0</v>
      </c>
    </row>
    <row r="24" spans="1:30">
      <c r="A24" s="67" t="s">
        <v>84</v>
      </c>
      <c r="B24" s="68">
        <v>0</v>
      </c>
      <c r="C24" s="62">
        <f>350</f>
        <v>350</v>
      </c>
      <c r="D24" s="62">
        <f>350</f>
        <v>350</v>
      </c>
      <c r="E24" s="62">
        <f>350</f>
        <v>350</v>
      </c>
      <c r="F24" s="5">
        <f>350</f>
        <v>350</v>
      </c>
      <c r="G24" s="5">
        <f>350</f>
        <v>350</v>
      </c>
      <c r="H24" s="5">
        <f>350</f>
        <v>350</v>
      </c>
      <c r="I24" s="5">
        <f>350</f>
        <v>350</v>
      </c>
      <c r="J24" s="5">
        <f>350</f>
        <v>350</v>
      </c>
      <c r="K24" s="5">
        <f>350</f>
        <v>350</v>
      </c>
      <c r="L24" s="5">
        <f>350</f>
        <v>350</v>
      </c>
      <c r="M24" s="5">
        <f>350</f>
        <v>350</v>
      </c>
      <c r="N24" s="5">
        <f>350</f>
        <v>350</v>
      </c>
      <c r="O24" s="9">
        <f t="shared" si="7"/>
        <v>4200</v>
      </c>
    </row>
    <row r="25" spans="1:30">
      <c r="A25" s="67" t="s">
        <v>33</v>
      </c>
      <c r="B25" s="68">
        <v>0</v>
      </c>
      <c r="C25" s="62">
        <v>10</v>
      </c>
      <c r="D25" s="62">
        <v>300</v>
      </c>
      <c r="E25" s="62">
        <v>300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5">
        <v>10</v>
      </c>
      <c r="L25" s="5">
        <v>10</v>
      </c>
      <c r="M25" s="5">
        <v>10</v>
      </c>
      <c r="N25" s="5">
        <v>10</v>
      </c>
      <c r="O25" s="9">
        <f t="shared" si="7"/>
        <v>700</v>
      </c>
    </row>
    <row r="26" spans="1:30">
      <c r="A26" s="67" t="s">
        <v>34</v>
      </c>
      <c r="B26" s="68">
        <v>0</v>
      </c>
      <c r="C26" s="62">
        <v>50</v>
      </c>
      <c r="D26" s="62">
        <v>50</v>
      </c>
      <c r="E26" s="62">
        <v>50</v>
      </c>
      <c r="F26" s="5">
        <v>50</v>
      </c>
      <c r="G26" s="5">
        <v>50</v>
      </c>
      <c r="H26" s="5">
        <v>50</v>
      </c>
      <c r="I26" s="5">
        <v>50</v>
      </c>
      <c r="J26" s="5">
        <v>50</v>
      </c>
      <c r="K26" s="5">
        <v>50</v>
      </c>
      <c r="L26" s="5">
        <v>50</v>
      </c>
      <c r="M26" s="5">
        <v>50</v>
      </c>
      <c r="N26" s="5">
        <v>50</v>
      </c>
      <c r="O26" s="9">
        <f t="shared" si="7"/>
        <v>600</v>
      </c>
    </row>
    <row r="27" spans="1:30">
      <c r="A27" s="67" t="s">
        <v>58</v>
      </c>
      <c r="B27" s="68">
        <v>0</v>
      </c>
      <c r="C27" s="62">
        <v>0</v>
      </c>
      <c r="D27" s="62">
        <v>0</v>
      </c>
      <c r="E27" s="62">
        <v>0</v>
      </c>
      <c r="F27" s="5">
        <v>0</v>
      </c>
      <c r="G27" s="5">
        <f>8000</f>
        <v>8000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9">
        <f t="shared" si="7"/>
        <v>8000</v>
      </c>
    </row>
    <row r="28" spans="1:30" s="10" customFormat="1">
      <c r="A28" s="7" t="s">
        <v>35</v>
      </c>
      <c r="B28" s="64">
        <v>0</v>
      </c>
      <c r="C28" s="63">
        <f>SUM(C12:C27)</f>
        <v>4838.2325000000001</v>
      </c>
      <c r="D28" s="63">
        <f t="shared" ref="D28" si="14">SUM(D12:D27)</f>
        <v>4812.2325000000001</v>
      </c>
      <c r="E28" s="63">
        <f t="shared" ref="E28" si="15">SUM(E12:E27)</f>
        <v>5092.2325000000001</v>
      </c>
      <c r="F28" s="7">
        <f t="shared" ref="F28:N28" si="16">SUM(F12:F27)</f>
        <v>4635.16</v>
      </c>
      <c r="G28" s="7">
        <f t="shared" si="16"/>
        <v>12123.16</v>
      </c>
      <c r="H28" s="7">
        <f t="shared" si="16"/>
        <v>4368.16</v>
      </c>
      <c r="I28" s="7">
        <f t="shared" si="16"/>
        <v>4524.16</v>
      </c>
      <c r="J28" s="7">
        <f t="shared" si="16"/>
        <v>4434.17</v>
      </c>
      <c r="K28" s="7">
        <f t="shared" si="16"/>
        <v>4123.17</v>
      </c>
      <c r="L28" s="7">
        <f t="shared" si="16"/>
        <v>4368.17</v>
      </c>
      <c r="M28" s="7">
        <f t="shared" si="16"/>
        <v>4323.17</v>
      </c>
      <c r="N28" s="7">
        <f t="shared" si="16"/>
        <v>6134.17</v>
      </c>
      <c r="O28" s="7">
        <f>SUM(O12:O27)</f>
        <v>63776.1875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0" customFormat="1" ht="15.75">
      <c r="A29" s="70" t="s">
        <v>36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1"/>
      <c r="AD29" s="11"/>
    </row>
    <row r="30" spans="1:30" s="10" customFormat="1">
      <c r="A30" s="7" t="s">
        <v>36</v>
      </c>
      <c r="B30" s="64">
        <f>B10-B28</f>
        <v>1000</v>
      </c>
      <c r="C30" s="64">
        <f>C10-C28</f>
        <v>-4838.2325000000001</v>
      </c>
      <c r="D30" s="63">
        <f t="shared" ref="D30:O30" si="17">D10-D28</f>
        <v>2687.7674999999999</v>
      </c>
      <c r="E30" s="63">
        <f t="shared" si="17"/>
        <v>-5092.2325000000001</v>
      </c>
      <c r="F30" s="7">
        <f t="shared" si="17"/>
        <v>17364.84</v>
      </c>
      <c r="G30" s="7">
        <f t="shared" si="17"/>
        <v>-12123.16</v>
      </c>
      <c r="H30" s="7">
        <f t="shared" si="17"/>
        <v>-4368.16</v>
      </c>
      <c r="I30" s="7">
        <f t="shared" si="17"/>
        <v>7475.84</v>
      </c>
      <c r="J30" s="7">
        <f t="shared" si="17"/>
        <v>-4434.17</v>
      </c>
      <c r="K30" s="7">
        <f t="shared" si="17"/>
        <v>-4123.17</v>
      </c>
      <c r="L30" s="7">
        <f t="shared" si="17"/>
        <v>7631.83</v>
      </c>
      <c r="M30" s="7">
        <f t="shared" si="17"/>
        <v>-4323.17</v>
      </c>
      <c r="N30" s="7">
        <f t="shared" si="17"/>
        <v>-6134.17</v>
      </c>
      <c r="O30" s="7">
        <f t="shared" si="17"/>
        <v>-10276.1875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1"/>
    </row>
    <row r="31" spans="1:30" s="10" customFormat="1">
      <c r="A31" s="70" t="s">
        <v>37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1"/>
    </row>
    <row r="32" spans="1:30" s="10" customFormat="1">
      <c r="A32" s="7" t="s">
        <v>37</v>
      </c>
      <c r="B32" s="64">
        <f>B30</f>
        <v>1000</v>
      </c>
      <c r="C32" s="64">
        <f>B32+C30</f>
        <v>-3838.2325000000001</v>
      </c>
      <c r="D32" s="63">
        <f>C32+D30</f>
        <v>-1150.4650000000001</v>
      </c>
      <c r="E32" s="63">
        <f>D32+E30</f>
        <v>-6242.6975000000002</v>
      </c>
      <c r="F32" s="7">
        <f>E32+F30</f>
        <v>11122.1425</v>
      </c>
      <c r="G32" s="7">
        <f t="shared" ref="G32:N32" si="18">F32+G30</f>
        <v>-1001.0174999999999</v>
      </c>
      <c r="H32" s="7">
        <f t="shared" si="18"/>
        <v>-5369.1774999999998</v>
      </c>
      <c r="I32" s="7">
        <f t="shared" si="18"/>
        <v>2106.6625000000004</v>
      </c>
      <c r="J32" s="7">
        <f t="shared" si="18"/>
        <v>-2327.5074999999997</v>
      </c>
      <c r="K32" s="7">
        <f t="shared" si="18"/>
        <v>-6450.6774999999998</v>
      </c>
      <c r="L32" s="7">
        <f t="shared" si="18"/>
        <v>1181.1525000000001</v>
      </c>
      <c r="M32" s="7">
        <f t="shared" si="18"/>
        <v>-3142.0174999999999</v>
      </c>
      <c r="N32" s="7">
        <f t="shared" si="18"/>
        <v>-9276.1875</v>
      </c>
      <c r="O32" s="7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1"/>
    </row>
  </sheetData>
  <mergeCells count="4">
    <mergeCell ref="A2:O2"/>
    <mergeCell ref="A11:O11"/>
    <mergeCell ref="A29:O29"/>
    <mergeCell ref="A31:O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3" sqref="B3:J10"/>
    </sheetView>
  </sheetViews>
  <sheetFormatPr defaultColWidth="11.42578125" defaultRowHeight="15"/>
  <cols>
    <col min="1" max="1" width="30.28515625" bestFit="1" customWidth="1"/>
    <col min="2" max="2" width="10.28515625" bestFit="1" customWidth="1"/>
    <col min="3" max="3" width="10.85546875" bestFit="1" customWidth="1"/>
    <col min="4" max="4" width="9.85546875" bestFit="1" customWidth="1"/>
    <col min="5" max="5" width="10.85546875" bestFit="1" customWidth="1"/>
    <col min="6" max="11" width="10.28515625" bestFit="1" customWidth="1"/>
  </cols>
  <sheetData>
    <row r="1" spans="1:11">
      <c r="A1" s="8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12</v>
      </c>
    </row>
    <row r="2" spans="1:1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>
      <c r="A3" s="4" t="s">
        <v>14</v>
      </c>
      <c r="B3" s="5">
        <f>(5500*15.6%)*4</f>
        <v>3432</v>
      </c>
      <c r="C3" s="5">
        <f>0</f>
        <v>0</v>
      </c>
      <c r="D3" s="5">
        <f>0</f>
        <v>0</v>
      </c>
      <c r="E3" s="5">
        <f>(4000*15.6%)*3</f>
        <v>1872</v>
      </c>
      <c r="F3" s="5">
        <v>0</v>
      </c>
      <c r="G3" s="5">
        <v>0</v>
      </c>
      <c r="H3" s="5">
        <f>(4000*15.6%)*3</f>
        <v>1872</v>
      </c>
      <c r="I3" s="5">
        <v>0</v>
      </c>
      <c r="J3" s="5">
        <v>0</v>
      </c>
      <c r="K3" s="9">
        <f t="shared" ref="K3:K9" si="0">SUM(B3:J3)</f>
        <v>7176</v>
      </c>
    </row>
    <row r="4" spans="1:11">
      <c r="A4" s="4" t="s">
        <v>15</v>
      </c>
      <c r="B4" s="5">
        <f xml:space="preserve"> (5500*42.3%)*4</f>
        <v>9306</v>
      </c>
      <c r="C4" s="5">
        <f>0</f>
        <v>0</v>
      </c>
      <c r="D4" s="5">
        <f>0</f>
        <v>0</v>
      </c>
      <c r="E4" s="5">
        <f xml:space="preserve"> (4000*42.3%)*3</f>
        <v>5076</v>
      </c>
      <c r="F4" s="5">
        <v>0</v>
      </c>
      <c r="G4" s="5">
        <v>0</v>
      </c>
      <c r="H4" s="5">
        <f xml:space="preserve"> (4000*42.3%)*3</f>
        <v>5076</v>
      </c>
      <c r="I4" s="5">
        <v>0</v>
      </c>
      <c r="J4" s="5">
        <v>0</v>
      </c>
      <c r="K4" s="9">
        <f t="shared" si="0"/>
        <v>19458</v>
      </c>
    </row>
    <row r="5" spans="1:11">
      <c r="A5" s="4" t="s">
        <v>16</v>
      </c>
      <c r="B5" s="5">
        <f xml:space="preserve"> (5500*10.6%)*4</f>
        <v>2332</v>
      </c>
      <c r="C5" s="5">
        <f>0</f>
        <v>0</v>
      </c>
      <c r="D5" s="5">
        <v>0</v>
      </c>
      <c r="E5" s="5">
        <f xml:space="preserve"> (4000*10.6%)*3</f>
        <v>1272</v>
      </c>
      <c r="F5" s="5">
        <v>0</v>
      </c>
      <c r="G5" s="5">
        <v>0</v>
      </c>
      <c r="H5" s="5">
        <f xml:space="preserve"> (4000*10.6%)*3</f>
        <v>1272</v>
      </c>
      <c r="I5" s="5">
        <v>0</v>
      </c>
      <c r="J5" s="5">
        <v>0</v>
      </c>
      <c r="K5" s="9">
        <f t="shared" si="0"/>
        <v>4876</v>
      </c>
    </row>
    <row r="6" spans="1:11">
      <c r="A6" s="4" t="s">
        <v>17</v>
      </c>
      <c r="B6" s="5">
        <f xml:space="preserve"> (5500*31.5%)*4</f>
        <v>6930</v>
      </c>
      <c r="C6" s="5">
        <f>0</f>
        <v>0</v>
      </c>
      <c r="D6" s="5">
        <v>0</v>
      </c>
      <c r="E6" s="5">
        <f xml:space="preserve"> (4000*31.5%)*3</f>
        <v>3780</v>
      </c>
      <c r="F6" s="5">
        <v>0</v>
      </c>
      <c r="G6" s="5">
        <v>0</v>
      </c>
      <c r="H6" s="5">
        <f xml:space="preserve"> (4000*31.5%)*3</f>
        <v>3780</v>
      </c>
      <c r="I6" s="5">
        <v>0</v>
      </c>
      <c r="J6" s="5">
        <v>0</v>
      </c>
      <c r="K6" s="9">
        <f t="shared" si="0"/>
        <v>14490</v>
      </c>
    </row>
    <row r="7" spans="1:11">
      <c r="A7" s="4" t="s">
        <v>18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9">
        <f t="shared" si="0"/>
        <v>0</v>
      </c>
    </row>
    <row r="8" spans="1:11">
      <c r="A8" s="4" t="s">
        <v>19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9">
        <f t="shared" si="0"/>
        <v>0</v>
      </c>
    </row>
    <row r="9" spans="1:11">
      <c r="A9" s="4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9">
        <f t="shared" si="0"/>
        <v>0</v>
      </c>
    </row>
    <row r="10" spans="1:11">
      <c r="A10" s="6" t="s">
        <v>21</v>
      </c>
      <c r="B10" s="7">
        <f t="shared" ref="B10:K10" si="1">SUM(B3:B9)</f>
        <v>22000</v>
      </c>
      <c r="C10" s="7">
        <f>SUM(C3:C9)</f>
        <v>0</v>
      </c>
      <c r="D10" s="7">
        <f t="shared" si="1"/>
        <v>0</v>
      </c>
      <c r="E10" s="7">
        <f t="shared" ref="E10:F10" si="2">SUM(E3:E9)</f>
        <v>12000</v>
      </c>
      <c r="F10" s="7">
        <f t="shared" si="2"/>
        <v>0</v>
      </c>
      <c r="G10" s="7">
        <f t="shared" si="1"/>
        <v>0</v>
      </c>
      <c r="H10" s="7">
        <f t="shared" ref="H10" si="3">SUM(H3:H9)</f>
        <v>12000</v>
      </c>
      <c r="I10" s="7">
        <f t="shared" si="1"/>
        <v>0</v>
      </c>
      <c r="J10" s="7">
        <f t="shared" ref="J10" si="4">SUM(J3:J9)</f>
        <v>0</v>
      </c>
      <c r="K10" s="7">
        <f t="shared" si="1"/>
        <v>46000</v>
      </c>
    </row>
    <row r="11" spans="1:11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>
      <c r="A12" s="4" t="s">
        <v>23</v>
      </c>
      <c r="B12" s="5">
        <f t="shared" ref="B12:J12" si="5">30000/12 - B14</f>
        <v>2345.9375</v>
      </c>
      <c r="C12" s="5">
        <f t="shared" si="5"/>
        <v>2345.9375</v>
      </c>
      <c r="D12" s="5">
        <f t="shared" si="5"/>
        <v>2345.9375</v>
      </c>
      <c r="E12" s="5">
        <f t="shared" si="5"/>
        <v>2345.9375</v>
      </c>
      <c r="F12" s="5">
        <f t="shared" si="5"/>
        <v>2345.9375</v>
      </c>
      <c r="G12" s="5">
        <f t="shared" si="5"/>
        <v>2345.9375</v>
      </c>
      <c r="H12" s="5">
        <f t="shared" si="5"/>
        <v>2345.9375</v>
      </c>
      <c r="I12" s="5">
        <f t="shared" si="5"/>
        <v>2345.9375</v>
      </c>
      <c r="J12" s="5">
        <f t="shared" si="5"/>
        <v>2345.9375</v>
      </c>
      <c r="K12" s="9">
        <f t="shared" ref="K12:K27" si="6">SUM(B12:J12)</f>
        <v>21113.4375</v>
      </c>
    </row>
    <row r="13" spans="1:11">
      <c r="A13" s="4" t="s">
        <v>24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9">
        <f t="shared" si="6"/>
        <v>0</v>
      </c>
    </row>
    <row r="14" spans="1:11">
      <c r="A14" s="4" t="s">
        <v>85</v>
      </c>
      <c r="B14" s="5">
        <f t="shared" ref="B14:J14" si="7">0.061625*2500</f>
        <v>154.0625</v>
      </c>
      <c r="C14" s="5">
        <f t="shared" si="7"/>
        <v>154.0625</v>
      </c>
      <c r="D14" s="5">
        <f t="shared" si="7"/>
        <v>154.0625</v>
      </c>
      <c r="E14" s="5">
        <f t="shared" si="7"/>
        <v>154.0625</v>
      </c>
      <c r="F14" s="5">
        <f t="shared" si="7"/>
        <v>154.0625</v>
      </c>
      <c r="G14" s="5">
        <f t="shared" si="7"/>
        <v>154.0625</v>
      </c>
      <c r="H14" s="5">
        <f t="shared" si="7"/>
        <v>154.0625</v>
      </c>
      <c r="I14" s="5">
        <f t="shared" si="7"/>
        <v>154.0625</v>
      </c>
      <c r="J14" s="5">
        <f t="shared" si="7"/>
        <v>154.0625</v>
      </c>
      <c r="K14" s="9">
        <f t="shared" si="6"/>
        <v>1386.5625</v>
      </c>
    </row>
    <row r="15" spans="1:11">
      <c r="A15" s="4" t="s">
        <v>86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 t="shared" si="6"/>
        <v>0</v>
      </c>
    </row>
    <row r="16" spans="1:11">
      <c r="A16" s="4" t="s">
        <v>25</v>
      </c>
      <c r="B16" s="5">
        <f>1253.5</f>
        <v>1253.5</v>
      </c>
      <c r="C16" s="5">
        <f>941.5</f>
        <v>941.5</v>
      </c>
      <c r="D16" s="5">
        <f>986.5</f>
        <v>986.5</v>
      </c>
      <c r="E16" s="5">
        <f>1142.5</f>
        <v>1142.5</v>
      </c>
      <c r="F16" s="5">
        <f>1052.5</f>
        <v>1052.5</v>
      </c>
      <c r="G16" s="5">
        <f>941.5</f>
        <v>941.5</v>
      </c>
      <c r="H16" s="5">
        <f>986.5</f>
        <v>986.5</v>
      </c>
      <c r="I16" s="5">
        <f>941.5</f>
        <v>941.5</v>
      </c>
      <c r="J16" s="5">
        <f>1552.5</f>
        <v>1552.5</v>
      </c>
      <c r="K16" s="9">
        <f t="shared" si="6"/>
        <v>9798.5</v>
      </c>
    </row>
    <row r="17" spans="1:11">
      <c r="A17" s="4" t="s">
        <v>26</v>
      </c>
      <c r="B17" s="5">
        <v>200</v>
      </c>
      <c r="C17" s="5">
        <v>0</v>
      </c>
      <c r="D17" s="5">
        <v>200</v>
      </c>
      <c r="E17" s="5">
        <v>200</v>
      </c>
      <c r="F17" s="5">
        <v>200</v>
      </c>
      <c r="G17" s="5">
        <v>0</v>
      </c>
      <c r="H17" s="5">
        <v>200</v>
      </c>
      <c r="I17" s="5">
        <v>200</v>
      </c>
      <c r="J17" s="5">
        <v>400</v>
      </c>
      <c r="K17" s="9">
        <f t="shared" si="6"/>
        <v>1600</v>
      </c>
    </row>
    <row r="18" spans="1:11">
      <c r="A18" s="4" t="s">
        <v>27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 t="shared" si="6"/>
        <v>0</v>
      </c>
    </row>
    <row r="19" spans="1:11">
      <c r="A19" s="4" t="s">
        <v>28</v>
      </c>
      <c r="B19" s="5">
        <f>166.66</f>
        <v>166.66</v>
      </c>
      <c r="C19" s="5">
        <f>166.66</f>
        <v>166.66</v>
      </c>
      <c r="D19" s="5">
        <f>166.66</f>
        <v>166.66</v>
      </c>
      <c r="E19" s="5">
        <f>166.66</f>
        <v>166.66</v>
      </c>
      <c r="F19" s="5">
        <f t="shared" ref="F19:J19" si="8">166.67</f>
        <v>166.67</v>
      </c>
      <c r="G19" s="5">
        <f t="shared" si="8"/>
        <v>166.67</v>
      </c>
      <c r="H19" s="5">
        <f t="shared" si="8"/>
        <v>166.67</v>
      </c>
      <c r="I19" s="5">
        <f t="shared" si="8"/>
        <v>166.67</v>
      </c>
      <c r="J19" s="5">
        <f t="shared" si="8"/>
        <v>166.67</v>
      </c>
      <c r="K19" s="9">
        <f t="shared" si="6"/>
        <v>1499.99</v>
      </c>
    </row>
    <row r="20" spans="1:11">
      <c r="A20" s="4" t="s">
        <v>29</v>
      </c>
      <c r="B20" s="5">
        <v>75</v>
      </c>
      <c r="C20" s="5">
        <v>75</v>
      </c>
      <c r="D20" s="5">
        <v>75</v>
      </c>
      <c r="E20" s="5">
        <v>75</v>
      </c>
      <c r="F20" s="5">
        <v>75</v>
      </c>
      <c r="G20" s="5">
        <v>75</v>
      </c>
      <c r="H20" s="5">
        <v>75</v>
      </c>
      <c r="I20" s="5">
        <v>75</v>
      </c>
      <c r="J20" s="5">
        <v>1075</v>
      </c>
      <c r="K20" s="9">
        <f t="shared" si="6"/>
        <v>1675</v>
      </c>
    </row>
    <row r="21" spans="1:11">
      <c r="A21" s="4" t="s">
        <v>30</v>
      </c>
      <c r="B21" s="5">
        <f>30</f>
        <v>30</v>
      </c>
      <c r="C21" s="5">
        <f>30</f>
        <v>30</v>
      </c>
      <c r="D21" s="5">
        <f>30</f>
        <v>30</v>
      </c>
      <c r="E21" s="5">
        <f>30</f>
        <v>30</v>
      </c>
      <c r="F21" s="5">
        <f>30</f>
        <v>30</v>
      </c>
      <c r="G21" s="5">
        <f>30</f>
        <v>30</v>
      </c>
      <c r="H21" s="5">
        <f>30</f>
        <v>30</v>
      </c>
      <c r="I21" s="5">
        <f>30</f>
        <v>30</v>
      </c>
      <c r="J21" s="5">
        <f>30</f>
        <v>30</v>
      </c>
      <c r="K21" s="9">
        <f t="shared" si="6"/>
        <v>270</v>
      </c>
    </row>
    <row r="22" spans="1:11">
      <c r="A22" s="4" t="s">
        <v>31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9">
        <f t="shared" si="6"/>
        <v>0</v>
      </c>
    </row>
    <row r="23" spans="1:11">
      <c r="A23" s="4" t="s">
        <v>32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9">
        <f t="shared" si="6"/>
        <v>0</v>
      </c>
    </row>
    <row r="24" spans="1:11">
      <c r="A24" s="4" t="s">
        <v>84</v>
      </c>
      <c r="B24" s="5">
        <f>350</f>
        <v>350</v>
      </c>
      <c r="C24" s="5">
        <f>350</f>
        <v>350</v>
      </c>
      <c r="D24" s="5">
        <f>350</f>
        <v>350</v>
      </c>
      <c r="E24" s="5">
        <f>350</f>
        <v>350</v>
      </c>
      <c r="F24" s="5">
        <f>350</f>
        <v>350</v>
      </c>
      <c r="G24" s="5">
        <f>350</f>
        <v>350</v>
      </c>
      <c r="H24" s="5">
        <f>350</f>
        <v>350</v>
      </c>
      <c r="I24" s="5">
        <f>350</f>
        <v>350</v>
      </c>
      <c r="J24" s="5">
        <f>350</f>
        <v>350</v>
      </c>
      <c r="K24" s="9">
        <f t="shared" si="6"/>
        <v>3150</v>
      </c>
    </row>
    <row r="25" spans="1:11">
      <c r="A25" s="4" t="s">
        <v>33</v>
      </c>
      <c r="B25" s="5">
        <v>10</v>
      </c>
      <c r="C25" s="5">
        <v>10</v>
      </c>
      <c r="D25" s="5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10</v>
      </c>
      <c r="J25" s="5">
        <v>10</v>
      </c>
      <c r="K25" s="9">
        <f t="shared" si="6"/>
        <v>90</v>
      </c>
    </row>
    <row r="26" spans="1:11">
      <c r="A26" s="4" t="s">
        <v>34</v>
      </c>
      <c r="B26" s="5">
        <v>50</v>
      </c>
      <c r="C26" s="5">
        <v>50</v>
      </c>
      <c r="D26" s="5">
        <v>50</v>
      </c>
      <c r="E26" s="5">
        <v>50</v>
      </c>
      <c r="F26" s="5">
        <v>50</v>
      </c>
      <c r="G26" s="5">
        <v>50</v>
      </c>
      <c r="H26" s="5">
        <v>50</v>
      </c>
      <c r="I26" s="5">
        <v>50</v>
      </c>
      <c r="J26" s="5">
        <v>50</v>
      </c>
      <c r="K26" s="9">
        <f t="shared" si="6"/>
        <v>450</v>
      </c>
    </row>
    <row r="27" spans="1:11">
      <c r="A27" s="4" t="s">
        <v>58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9">
        <f t="shared" si="6"/>
        <v>0</v>
      </c>
    </row>
    <row r="28" spans="1:11">
      <c r="A28" s="6" t="s">
        <v>35</v>
      </c>
      <c r="B28" s="7">
        <f t="shared" ref="B28:J28" si="9">SUM(B12:B27)</f>
        <v>4635.16</v>
      </c>
      <c r="C28" s="7">
        <f t="shared" si="9"/>
        <v>4123.16</v>
      </c>
      <c r="D28" s="7">
        <f t="shared" si="9"/>
        <v>4368.16</v>
      </c>
      <c r="E28" s="7">
        <f t="shared" si="9"/>
        <v>4524.16</v>
      </c>
      <c r="F28" s="7">
        <f t="shared" si="9"/>
        <v>4434.17</v>
      </c>
      <c r="G28" s="7">
        <f t="shared" si="9"/>
        <v>4123.17</v>
      </c>
      <c r="H28" s="7">
        <f t="shared" si="9"/>
        <v>4368.17</v>
      </c>
      <c r="I28" s="7">
        <f t="shared" si="9"/>
        <v>4323.17</v>
      </c>
      <c r="J28" s="7">
        <f t="shared" si="9"/>
        <v>6134.17</v>
      </c>
      <c r="K28" s="7">
        <f>SUM(K12:K27)</f>
        <v>41033.49</v>
      </c>
    </row>
    <row r="29" spans="1:11">
      <c r="A29" s="73" t="s">
        <v>36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>
      <c r="A30" s="6" t="s">
        <v>36</v>
      </c>
      <c r="B30" s="7">
        <f t="shared" ref="B30:K30" si="10">B10-B28</f>
        <v>17364.84</v>
      </c>
      <c r="C30" s="7">
        <f t="shared" si="10"/>
        <v>-4123.16</v>
      </c>
      <c r="D30" s="7">
        <f t="shared" si="10"/>
        <v>-4368.16</v>
      </c>
      <c r="E30" s="7">
        <f t="shared" si="10"/>
        <v>7475.84</v>
      </c>
      <c r="F30" s="7">
        <f t="shared" si="10"/>
        <v>-4434.17</v>
      </c>
      <c r="G30" s="7">
        <f t="shared" si="10"/>
        <v>-4123.17</v>
      </c>
      <c r="H30" s="7">
        <f t="shared" si="10"/>
        <v>7631.83</v>
      </c>
      <c r="I30" s="7">
        <f t="shared" si="10"/>
        <v>-4323.17</v>
      </c>
      <c r="J30" s="7">
        <f t="shared" si="10"/>
        <v>-6134.17</v>
      </c>
      <c r="K30" s="7">
        <f t="shared" si="10"/>
        <v>4966.510000000002</v>
      </c>
    </row>
    <row r="31" spans="1:11">
      <c r="A31" s="73" t="s">
        <v>37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1:11">
      <c r="A32" s="6" t="s">
        <v>37</v>
      </c>
      <c r="B32" s="7">
        <f>B30</f>
        <v>17364.84</v>
      </c>
      <c r="C32" s="7">
        <f t="shared" ref="C32:J32" si="11">B32+C30</f>
        <v>13241.68</v>
      </c>
      <c r="D32" s="7">
        <f t="shared" si="11"/>
        <v>8873.52</v>
      </c>
      <c r="E32" s="7">
        <f t="shared" si="11"/>
        <v>16349.36</v>
      </c>
      <c r="F32" s="7">
        <f t="shared" si="11"/>
        <v>11915.19</v>
      </c>
      <c r="G32" s="7">
        <f t="shared" si="11"/>
        <v>7792.02</v>
      </c>
      <c r="H32" s="7">
        <f t="shared" si="11"/>
        <v>15423.85</v>
      </c>
      <c r="I32" s="7">
        <f t="shared" si="11"/>
        <v>11100.68</v>
      </c>
      <c r="J32" s="7">
        <f t="shared" si="11"/>
        <v>4966.51</v>
      </c>
      <c r="K32" s="14"/>
    </row>
  </sheetData>
  <mergeCells count="4">
    <mergeCell ref="A2:K2"/>
    <mergeCell ref="A11:K11"/>
    <mergeCell ref="A29:K29"/>
    <mergeCell ref="A31:K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26" sqref="C26"/>
    </sheetView>
  </sheetViews>
  <sheetFormatPr defaultColWidth="11.42578125" defaultRowHeight="15"/>
  <cols>
    <col min="1" max="1" width="14.28515625" bestFit="1" customWidth="1"/>
    <col min="2" max="13" width="10.5703125" bestFit="1" customWidth="1"/>
    <col min="14" max="14" width="11.7109375" bestFit="1" customWidth="1"/>
    <col min="15" max="15" width="12.5703125" bestFit="1" customWidth="1"/>
  </cols>
  <sheetData>
    <row r="1" spans="1:15">
      <c r="A1" s="50"/>
      <c r="B1" s="51" t="s">
        <v>9</v>
      </c>
      <c r="C1" s="51" t="s">
        <v>10</v>
      </c>
      <c r="D1" s="51" t="s">
        <v>11</v>
      </c>
      <c r="E1" s="51" t="s">
        <v>0</v>
      </c>
      <c r="F1" s="51" t="s">
        <v>1</v>
      </c>
      <c r="G1" s="51" t="s">
        <v>2</v>
      </c>
      <c r="H1" s="51" t="s">
        <v>3</v>
      </c>
      <c r="I1" s="51" t="s">
        <v>4</v>
      </c>
      <c r="J1" s="51" t="s">
        <v>5</v>
      </c>
      <c r="K1" s="51" t="s">
        <v>6</v>
      </c>
      <c r="L1" s="51" t="s">
        <v>7</v>
      </c>
      <c r="M1" s="51" t="s">
        <v>8</v>
      </c>
      <c r="N1" s="51" t="s">
        <v>12</v>
      </c>
      <c r="O1" s="52"/>
    </row>
    <row r="2" spans="1:15">
      <c r="A2" s="75" t="s">
        <v>13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52"/>
    </row>
    <row r="3" spans="1:15">
      <c r="A3" s="53" t="s">
        <v>38</v>
      </c>
      <c r="B3" s="30">
        <f t="shared" ref="B3:M3" si="0">30000/12</f>
        <v>2500</v>
      </c>
      <c r="C3" s="30">
        <f t="shared" si="0"/>
        <v>2500</v>
      </c>
      <c r="D3" s="30">
        <f t="shared" si="0"/>
        <v>2500</v>
      </c>
      <c r="E3" s="30">
        <f t="shared" si="0"/>
        <v>2500</v>
      </c>
      <c r="F3" s="30">
        <f t="shared" si="0"/>
        <v>2500</v>
      </c>
      <c r="G3" s="30">
        <f t="shared" si="0"/>
        <v>2500</v>
      </c>
      <c r="H3" s="30">
        <f t="shared" si="0"/>
        <v>2500</v>
      </c>
      <c r="I3" s="30">
        <f t="shared" si="0"/>
        <v>2500</v>
      </c>
      <c r="J3" s="30">
        <f t="shared" si="0"/>
        <v>2500</v>
      </c>
      <c r="K3" s="30">
        <f t="shared" si="0"/>
        <v>2500</v>
      </c>
      <c r="L3" s="30">
        <f t="shared" si="0"/>
        <v>2500</v>
      </c>
      <c r="M3" s="30">
        <f t="shared" si="0"/>
        <v>2500</v>
      </c>
      <c r="N3" s="31">
        <f>SUM(B3:M3)</f>
        <v>30000</v>
      </c>
      <c r="O3" s="56"/>
    </row>
    <row r="4" spans="1:15">
      <c r="A4" s="53" t="s">
        <v>39</v>
      </c>
      <c r="B4" s="30">
        <f>B3</f>
        <v>2500</v>
      </c>
      <c r="C4" s="30">
        <f>B4+C3</f>
        <v>5000</v>
      </c>
      <c r="D4" s="30">
        <f>C4+D3</f>
        <v>7500</v>
      </c>
      <c r="E4" s="30">
        <f>D4+E3</f>
        <v>10000</v>
      </c>
      <c r="F4" s="30">
        <f>E4+F3</f>
        <v>12500</v>
      </c>
      <c r="G4" s="30">
        <f>F4+G3</f>
        <v>15000</v>
      </c>
      <c r="H4" s="30">
        <f t="shared" ref="H4:M4" si="1">G4+H3</f>
        <v>17500</v>
      </c>
      <c r="I4" s="30">
        <f t="shared" si="1"/>
        <v>20000</v>
      </c>
      <c r="J4" s="30">
        <f t="shared" si="1"/>
        <v>22500</v>
      </c>
      <c r="K4" s="30">
        <f t="shared" si="1"/>
        <v>25000</v>
      </c>
      <c r="L4" s="30">
        <f t="shared" si="1"/>
        <v>27500</v>
      </c>
      <c r="M4" s="30">
        <f t="shared" si="1"/>
        <v>30000</v>
      </c>
      <c r="N4" s="31">
        <f>SUM(B3:M3)</f>
        <v>30000</v>
      </c>
      <c r="O4" s="56"/>
    </row>
    <row r="5" spans="1:15">
      <c r="A5" s="54"/>
      <c r="B5" s="54"/>
      <c r="C5" s="54"/>
      <c r="D5" s="54"/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>
      <c r="A6" s="54"/>
      <c r="B6" s="54"/>
      <c r="C6" s="54"/>
      <c r="D6" s="54"/>
      <c r="E6" s="54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>
      <c r="A7" s="54"/>
      <c r="B7" s="54"/>
      <c r="C7" s="54"/>
      <c r="D7" s="54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>
        <f t="shared" ref="O12" si="2">SUM(O4:O11)</f>
        <v>0</v>
      </c>
    </row>
  </sheetData>
  <mergeCells count="1">
    <mergeCell ref="A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5" sqref="E5"/>
    </sheetView>
  </sheetViews>
  <sheetFormatPr defaultColWidth="11.42578125" defaultRowHeight="15"/>
  <cols>
    <col min="2" max="2" width="18.140625" customWidth="1"/>
    <col min="3" max="3" width="9.5703125" bestFit="1" customWidth="1"/>
    <col min="4" max="4" width="19.85546875" bestFit="1" customWidth="1"/>
    <col min="5" max="5" width="9.5703125" bestFit="1" customWidth="1"/>
  </cols>
  <sheetData>
    <row r="1" spans="1:5">
      <c r="A1" s="15"/>
      <c r="B1" s="16" t="s">
        <v>92</v>
      </c>
      <c r="C1" s="16" t="s">
        <v>40</v>
      </c>
      <c r="D1" s="16" t="s">
        <v>91</v>
      </c>
      <c r="E1" s="16" t="s">
        <v>90</v>
      </c>
    </row>
    <row r="2" spans="1:5">
      <c r="A2" s="76" t="s">
        <v>41</v>
      </c>
      <c r="B2" s="76"/>
      <c r="C2" s="76"/>
      <c r="D2" s="76"/>
      <c r="E2" s="76"/>
    </row>
    <row r="3" spans="1:5">
      <c r="A3" s="17" t="s">
        <v>42</v>
      </c>
      <c r="B3" s="18">
        <v>9418</v>
      </c>
      <c r="C3" s="27">
        <f>B3/B7</f>
        <v>0.14998725952350617</v>
      </c>
      <c r="D3" s="18">
        <v>10851</v>
      </c>
      <c r="E3" s="27">
        <f>D3/D7</f>
        <v>0.15576194304088195</v>
      </c>
    </row>
    <row r="4" spans="1:5">
      <c r="A4" s="17" t="s">
        <v>43</v>
      </c>
      <c r="B4" s="18">
        <v>26581</v>
      </c>
      <c r="C4" s="27">
        <f>B4/B7</f>
        <v>0.42331825710281562</v>
      </c>
      <c r="D4" s="18">
        <v>29473</v>
      </c>
      <c r="E4" s="27">
        <f>D4/D7</f>
        <v>0.42307361047312814</v>
      </c>
    </row>
    <row r="5" spans="1:5">
      <c r="A5" s="17" t="s">
        <v>44</v>
      </c>
      <c r="B5" s="18">
        <v>5775</v>
      </c>
      <c r="C5" s="27">
        <f>B5/B7</f>
        <v>9.1970314689769392E-2</v>
      </c>
      <c r="D5" s="18">
        <v>7382</v>
      </c>
      <c r="E5" s="27">
        <f>D5/D7</f>
        <v>0.10596577859439596</v>
      </c>
    </row>
    <row r="6" spans="1:5">
      <c r="A6" s="17" t="s">
        <v>45</v>
      </c>
      <c r="B6" s="18">
        <v>21018</v>
      </c>
      <c r="C6" s="27">
        <f>B6/B7</f>
        <v>0.33472416868390875</v>
      </c>
      <c r="D6" s="18">
        <v>21958</v>
      </c>
      <c r="E6" s="27">
        <f>D6/D7</f>
        <v>0.31519866789159395</v>
      </c>
    </row>
    <row r="7" spans="1:5">
      <c r="A7" s="19" t="s">
        <v>12</v>
      </c>
      <c r="B7" s="18">
        <f>SUM(B3:B6)</f>
        <v>62792</v>
      </c>
      <c r="C7" s="27">
        <f>SUM(C3:C6)</f>
        <v>0.99999999999999989</v>
      </c>
      <c r="D7" s="18">
        <f>SUM(D3:D6)</f>
        <v>69664</v>
      </c>
      <c r="E7" s="27">
        <f>SUM(E3:E6)</f>
        <v>1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6"/>
    </sheetView>
  </sheetViews>
  <sheetFormatPr defaultColWidth="11.42578125" defaultRowHeight="15"/>
  <cols>
    <col min="2" max="2" width="14.85546875" customWidth="1"/>
  </cols>
  <sheetData>
    <row r="1" spans="1:2">
      <c r="A1" s="15"/>
      <c r="B1" s="20" t="s">
        <v>50</v>
      </c>
    </row>
    <row r="2" spans="1:2">
      <c r="A2" s="76" t="s">
        <v>46</v>
      </c>
      <c r="B2" s="76"/>
    </row>
    <row r="3" spans="1:2">
      <c r="A3" s="21" t="s">
        <v>47</v>
      </c>
      <c r="B3" s="28">
        <v>10</v>
      </c>
    </row>
    <row r="4" spans="1:2">
      <c r="A4" s="21" t="s">
        <v>48</v>
      </c>
      <c r="B4" s="28">
        <v>12.5</v>
      </c>
    </row>
    <row r="5" spans="1:2">
      <c r="A5" s="21" t="s">
        <v>49</v>
      </c>
      <c r="B5" s="28">
        <v>15</v>
      </c>
    </row>
    <row r="6" spans="1:2">
      <c r="A6" s="22" t="s">
        <v>12</v>
      </c>
      <c r="B6" s="28">
        <f>SUM(B3:B5)</f>
        <v>37.5</v>
      </c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ColWidth="11.42578125" defaultRowHeight="15"/>
  <sheetData>
    <row r="1" spans="1:4">
      <c r="A1" s="15"/>
      <c r="B1" s="16" t="s">
        <v>51</v>
      </c>
      <c r="C1" s="16" t="s">
        <v>52</v>
      </c>
      <c r="D1" s="16" t="s">
        <v>56</v>
      </c>
    </row>
    <row r="2" spans="1:4">
      <c r="A2" s="76" t="s">
        <v>53</v>
      </c>
      <c r="B2" s="76"/>
      <c r="C2" s="76"/>
      <c r="D2" s="76"/>
    </row>
    <row r="3" spans="1:4">
      <c r="A3" s="21" t="s">
        <v>54</v>
      </c>
      <c r="B3" s="26">
        <v>16</v>
      </c>
      <c r="C3" s="26">
        <v>7.5</v>
      </c>
      <c r="D3" s="60">
        <v>15</v>
      </c>
    </row>
    <row r="4" spans="1:4">
      <c r="A4" s="21" t="s">
        <v>55</v>
      </c>
      <c r="B4" s="26">
        <v>100</v>
      </c>
      <c r="C4" s="26">
        <v>100</v>
      </c>
      <c r="D4" s="60">
        <v>100</v>
      </c>
    </row>
  </sheetData>
  <mergeCells count="1"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O12"/>
    </sheetView>
  </sheetViews>
  <sheetFormatPr defaultColWidth="9.140625" defaultRowHeight="15"/>
  <cols>
    <col min="2" max="2" width="19.5703125" customWidth="1"/>
    <col min="3" max="3" width="9.7109375" bestFit="1" customWidth="1"/>
    <col min="4" max="4" width="10.5703125" bestFit="1" customWidth="1"/>
    <col min="5" max="5" width="8.42578125" bestFit="1" customWidth="1"/>
    <col min="6" max="6" width="9.7109375" bestFit="1" customWidth="1"/>
    <col min="7" max="7" width="8.42578125" bestFit="1" customWidth="1"/>
    <col min="8" max="8" width="10.5703125" bestFit="1" customWidth="1"/>
    <col min="9" max="10" width="9.7109375" bestFit="1" customWidth="1"/>
    <col min="11" max="11" width="8.42578125" bestFit="1" customWidth="1"/>
    <col min="12" max="12" width="10.5703125" bestFit="1" customWidth="1"/>
    <col min="13" max="13" width="8.42578125" bestFit="1" customWidth="1"/>
    <col min="14" max="14" width="9.7109375" bestFit="1" customWidth="1"/>
    <col min="15" max="15" width="12.42578125" bestFit="1" customWidth="1"/>
  </cols>
  <sheetData>
    <row r="1" spans="1:15">
      <c r="A1" s="79"/>
      <c r="B1" s="79"/>
      <c r="C1" s="49" t="s">
        <v>9</v>
      </c>
      <c r="D1" s="49" t="s">
        <v>10</v>
      </c>
      <c r="E1" s="49" t="s">
        <v>11</v>
      </c>
      <c r="F1" s="49" t="s">
        <v>0</v>
      </c>
      <c r="G1" s="49" t="s">
        <v>1</v>
      </c>
      <c r="H1" s="49" t="s">
        <v>2</v>
      </c>
      <c r="I1" s="49" t="s">
        <v>3</v>
      </c>
      <c r="J1" s="49" t="s">
        <v>4</v>
      </c>
      <c r="K1" s="49" t="s">
        <v>5</v>
      </c>
      <c r="L1" s="49" t="s">
        <v>6</v>
      </c>
      <c r="M1" s="49" t="s">
        <v>7</v>
      </c>
      <c r="N1" s="49" t="s">
        <v>8</v>
      </c>
      <c r="O1" s="49" t="s">
        <v>12</v>
      </c>
    </row>
    <row r="2" spans="1:15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>
      <c r="A3" s="77" t="s">
        <v>78</v>
      </c>
      <c r="B3" s="77"/>
      <c r="C3" s="37" t="s">
        <v>56</v>
      </c>
      <c r="D3" s="37" t="s">
        <v>52</v>
      </c>
      <c r="E3" s="37" t="s">
        <v>56</v>
      </c>
      <c r="F3" s="37" t="s">
        <v>51</v>
      </c>
      <c r="G3" s="37" t="s">
        <v>56</v>
      </c>
      <c r="H3" s="37" t="s">
        <v>52</v>
      </c>
      <c r="I3" s="37" t="s">
        <v>56</v>
      </c>
      <c r="J3" s="37" t="s">
        <v>51</v>
      </c>
      <c r="K3" s="37" t="s">
        <v>56</v>
      </c>
      <c r="L3" s="37" t="s">
        <v>52</v>
      </c>
      <c r="M3" s="37" t="s">
        <v>56</v>
      </c>
      <c r="N3" s="37" t="s">
        <v>51</v>
      </c>
      <c r="O3" s="38"/>
    </row>
    <row r="4" spans="1:15">
      <c r="A4" s="81"/>
      <c r="B4" s="39" t="s">
        <v>79</v>
      </c>
      <c r="C4" s="40">
        <f t="shared" ref="C4:N4" si="0">50*2</f>
        <v>100</v>
      </c>
      <c r="D4" s="40">
        <f t="shared" si="0"/>
        <v>100</v>
      </c>
      <c r="E4" s="40">
        <f t="shared" si="0"/>
        <v>100</v>
      </c>
      <c r="F4" s="40">
        <f t="shared" si="0"/>
        <v>100</v>
      </c>
      <c r="G4" s="40">
        <f t="shared" si="0"/>
        <v>100</v>
      </c>
      <c r="H4" s="40">
        <f t="shared" si="0"/>
        <v>100</v>
      </c>
      <c r="I4" s="40">
        <f t="shared" si="0"/>
        <v>100</v>
      </c>
      <c r="J4" s="40">
        <f t="shared" si="0"/>
        <v>100</v>
      </c>
      <c r="K4" s="40">
        <f t="shared" si="0"/>
        <v>100</v>
      </c>
      <c r="L4" s="40">
        <f t="shared" si="0"/>
        <v>100</v>
      </c>
      <c r="M4" s="40">
        <f t="shared" si="0"/>
        <v>100</v>
      </c>
      <c r="N4" s="40">
        <f t="shared" si="0"/>
        <v>100</v>
      </c>
      <c r="O4" s="38">
        <f t="shared" ref="O4:O11" si="1">SUM(C4:N4)</f>
        <v>1200</v>
      </c>
    </row>
    <row r="5" spans="1:15">
      <c r="A5" s="81"/>
      <c r="B5" s="39" t="s">
        <v>54</v>
      </c>
      <c r="C5" s="41">
        <f>0</f>
        <v>0</v>
      </c>
      <c r="D5" s="40">
        <f>7.5</f>
        <v>7.5</v>
      </c>
      <c r="E5" s="40">
        <f>0</f>
        <v>0</v>
      </c>
      <c r="F5" s="40">
        <f>18*2</f>
        <v>36</v>
      </c>
      <c r="G5" s="40">
        <v>0</v>
      </c>
      <c r="H5" s="40">
        <f>7.5</f>
        <v>7.5</v>
      </c>
      <c r="I5" s="40">
        <f>0</f>
        <v>0</v>
      </c>
      <c r="J5" s="40">
        <f>18*2</f>
        <v>36</v>
      </c>
      <c r="K5" s="40">
        <f>0</f>
        <v>0</v>
      </c>
      <c r="L5" s="40">
        <f>7.5</f>
        <v>7.5</v>
      </c>
      <c r="M5" s="40">
        <f>0</f>
        <v>0</v>
      </c>
      <c r="N5" s="40">
        <f>18*2</f>
        <v>36</v>
      </c>
      <c r="O5" s="38">
        <f t="shared" si="1"/>
        <v>130.5</v>
      </c>
    </row>
    <row r="6" spans="1:15">
      <c r="A6" s="81"/>
      <c r="B6" s="39" t="s">
        <v>55</v>
      </c>
      <c r="C6" s="40">
        <f>0</f>
        <v>0</v>
      </c>
      <c r="D6" s="40">
        <f>0</f>
        <v>0</v>
      </c>
      <c r="E6" s="40">
        <f>0</f>
        <v>0</v>
      </c>
      <c r="F6" s="40">
        <f>0</f>
        <v>0</v>
      </c>
      <c r="G6" s="40">
        <f>0</f>
        <v>0</v>
      </c>
      <c r="H6" s="40">
        <f>0</f>
        <v>0</v>
      </c>
      <c r="I6" s="40">
        <f>0</f>
        <v>0</v>
      </c>
      <c r="J6" s="40">
        <f>0</f>
        <v>0</v>
      </c>
      <c r="K6" s="40">
        <f>0</f>
        <v>0</v>
      </c>
      <c r="L6" s="40">
        <f>0</f>
        <v>0</v>
      </c>
      <c r="M6" s="40">
        <f>0</f>
        <v>0</v>
      </c>
      <c r="N6" s="40">
        <f>0</f>
        <v>0</v>
      </c>
      <c r="O6" s="38">
        <f t="shared" si="1"/>
        <v>0</v>
      </c>
    </row>
    <row r="7" spans="1:15" ht="15.75" thickBot="1">
      <c r="A7" s="82"/>
      <c r="B7" s="42" t="s">
        <v>46</v>
      </c>
      <c r="C7" s="43">
        <f>37.5</f>
        <v>37.5</v>
      </c>
      <c r="D7" s="43">
        <f>37.5*2</f>
        <v>75</v>
      </c>
      <c r="E7" s="43">
        <f>37.5</f>
        <v>37.5</v>
      </c>
      <c r="F7" s="43">
        <f>37.5*3</f>
        <v>112.5</v>
      </c>
      <c r="G7" s="43">
        <f>37.5</f>
        <v>37.5</v>
      </c>
      <c r="H7" s="43">
        <f>37.5*2</f>
        <v>75</v>
      </c>
      <c r="I7" s="43">
        <f>37.5</f>
        <v>37.5</v>
      </c>
      <c r="J7" s="43">
        <f>37.5*3</f>
        <v>112.5</v>
      </c>
      <c r="K7" s="43">
        <f>37.5</f>
        <v>37.5</v>
      </c>
      <c r="L7" s="43">
        <f>37.5*2</f>
        <v>75</v>
      </c>
      <c r="M7" s="43">
        <f>37.5</f>
        <v>37.5</v>
      </c>
      <c r="N7" s="43">
        <f>37.5*3</f>
        <v>112.5</v>
      </c>
      <c r="O7" s="44">
        <f t="shared" si="1"/>
        <v>787.5</v>
      </c>
    </row>
    <row r="8" spans="1:15">
      <c r="A8" s="83" t="s">
        <v>80</v>
      </c>
      <c r="B8" s="83"/>
      <c r="C8" s="45">
        <f t="shared" ref="C8:L8" si="2">60+50+75+16</f>
        <v>201</v>
      </c>
      <c r="D8" s="45">
        <f>0</f>
        <v>0</v>
      </c>
      <c r="E8" s="45">
        <f>0</f>
        <v>0</v>
      </c>
      <c r="F8" s="45">
        <f>60+50+75+16</f>
        <v>201</v>
      </c>
      <c r="G8" s="45">
        <f>0</f>
        <v>0</v>
      </c>
      <c r="H8" s="45">
        <f>0</f>
        <v>0</v>
      </c>
      <c r="I8" s="45">
        <f t="shared" si="2"/>
        <v>201</v>
      </c>
      <c r="J8" s="45">
        <f>0</f>
        <v>0</v>
      </c>
      <c r="K8" s="45">
        <f>0</f>
        <v>0</v>
      </c>
      <c r="L8" s="45">
        <f t="shared" si="2"/>
        <v>201</v>
      </c>
      <c r="M8" s="45">
        <f>0</f>
        <v>0</v>
      </c>
      <c r="N8" s="45">
        <f>0</f>
        <v>0</v>
      </c>
      <c r="O8" s="46">
        <f t="shared" si="1"/>
        <v>804</v>
      </c>
    </row>
    <row r="9" spans="1:15">
      <c r="A9" s="77" t="s">
        <v>81</v>
      </c>
      <c r="B9" s="77"/>
      <c r="C9" s="47">
        <f t="shared" ref="C9:N9" si="3">(60+50+75+16)*2</f>
        <v>402</v>
      </c>
      <c r="D9" s="47">
        <f t="shared" si="3"/>
        <v>402</v>
      </c>
      <c r="E9" s="47">
        <f t="shared" si="3"/>
        <v>402</v>
      </c>
      <c r="F9" s="47">
        <f>(60+50+75+16)*2</f>
        <v>402</v>
      </c>
      <c r="G9" s="47">
        <f t="shared" si="3"/>
        <v>402</v>
      </c>
      <c r="H9" s="47">
        <f t="shared" si="3"/>
        <v>402</v>
      </c>
      <c r="I9" s="47">
        <f t="shared" si="3"/>
        <v>402</v>
      </c>
      <c r="J9" s="47">
        <f t="shared" si="3"/>
        <v>402</v>
      </c>
      <c r="K9" s="47">
        <f t="shared" si="3"/>
        <v>402</v>
      </c>
      <c r="L9" s="47">
        <f t="shared" si="3"/>
        <v>402</v>
      </c>
      <c r="M9" s="47">
        <f t="shared" si="3"/>
        <v>402</v>
      </c>
      <c r="N9" s="47">
        <f t="shared" si="3"/>
        <v>402</v>
      </c>
      <c r="O9" s="48">
        <f t="shared" si="1"/>
        <v>4824</v>
      </c>
    </row>
    <row r="10" spans="1:15">
      <c r="A10" s="77" t="s">
        <v>83</v>
      </c>
      <c r="B10" s="77"/>
      <c r="C10" s="47">
        <f>(60+50+75+16)*2</f>
        <v>402</v>
      </c>
      <c r="D10" s="47">
        <f>(60+50+75+16)*2</f>
        <v>402</v>
      </c>
      <c r="E10" s="47">
        <f>(60+50+75+16)*2</f>
        <v>402</v>
      </c>
      <c r="F10" s="47">
        <f>(60+50+75+16)*2</f>
        <v>402</v>
      </c>
      <c r="G10" s="47">
        <f>(60+50+75+16)*2</f>
        <v>402</v>
      </c>
      <c r="H10" s="47">
        <f>(60+50+75+16)*2</f>
        <v>402</v>
      </c>
      <c r="I10" s="47">
        <f>(60+50+75+16)*2</f>
        <v>402</v>
      </c>
      <c r="J10" s="47">
        <f>(60+50+75+16)*2</f>
        <v>402</v>
      </c>
      <c r="K10" s="47">
        <f>(60+50+75+16)*2</f>
        <v>402</v>
      </c>
      <c r="L10" s="47">
        <f t="shared" ref="L10" si="4">60+50+75+16</f>
        <v>201</v>
      </c>
      <c r="M10" s="47">
        <f>(60+50+75+16)*2</f>
        <v>402</v>
      </c>
      <c r="N10" s="47">
        <f>(60+50+75+16)*2</f>
        <v>402</v>
      </c>
      <c r="O10" s="48">
        <f t="shared" si="1"/>
        <v>4623</v>
      </c>
    </row>
    <row r="11" spans="1:15">
      <c r="A11" s="77" t="s">
        <v>82</v>
      </c>
      <c r="B11" s="77"/>
      <c r="C11" s="47">
        <v>0</v>
      </c>
      <c r="D11" s="47">
        <f>0</f>
        <v>0</v>
      </c>
      <c r="E11" s="47">
        <f>0</f>
        <v>0</v>
      </c>
      <c r="F11" s="47">
        <f>0</f>
        <v>0</v>
      </c>
      <c r="G11" s="47">
        <f>0</f>
        <v>0</v>
      </c>
      <c r="H11" s="47">
        <f>0</f>
        <v>0</v>
      </c>
      <c r="I11" s="47">
        <f>0</f>
        <v>0</v>
      </c>
      <c r="J11" s="47">
        <f>0</f>
        <v>0</v>
      </c>
      <c r="K11" s="47">
        <f>0</f>
        <v>0</v>
      </c>
      <c r="L11" s="47">
        <f>0</f>
        <v>0</v>
      </c>
      <c r="M11" s="47">
        <f>0</f>
        <v>0</v>
      </c>
      <c r="N11" s="47">
        <f>500</f>
        <v>500</v>
      </c>
      <c r="O11" s="48">
        <f t="shared" si="1"/>
        <v>500</v>
      </c>
    </row>
    <row r="12" spans="1:15">
      <c r="A12" s="78" t="s">
        <v>12</v>
      </c>
      <c r="B12" s="78"/>
      <c r="C12" s="47">
        <f>SUM(C4:C11)</f>
        <v>1142.5</v>
      </c>
      <c r="D12" s="47">
        <f>SUM(D4:D11)</f>
        <v>986.5</v>
      </c>
      <c r="E12" s="47">
        <f>SUM(E4:E11)</f>
        <v>941.5</v>
      </c>
      <c r="F12" s="47">
        <f t="shared" ref="F12:O12" si="5">SUM(F4:F11)</f>
        <v>1253.5</v>
      </c>
      <c r="G12" s="47">
        <f t="shared" si="5"/>
        <v>941.5</v>
      </c>
      <c r="H12" s="47">
        <f t="shared" si="5"/>
        <v>986.5</v>
      </c>
      <c r="I12" s="47">
        <f t="shared" si="5"/>
        <v>1142.5</v>
      </c>
      <c r="J12" s="47">
        <f t="shared" si="5"/>
        <v>1052.5</v>
      </c>
      <c r="K12" s="47">
        <f t="shared" si="5"/>
        <v>941.5</v>
      </c>
      <c r="L12" s="47">
        <f t="shared" si="5"/>
        <v>986.5</v>
      </c>
      <c r="M12" s="47">
        <f t="shared" si="5"/>
        <v>941.5</v>
      </c>
      <c r="N12" s="47">
        <f t="shared" si="5"/>
        <v>1552.5</v>
      </c>
      <c r="O12" s="48">
        <f t="shared" si="5"/>
        <v>12869</v>
      </c>
    </row>
  </sheetData>
  <mergeCells count="9">
    <mergeCell ref="A9:B9"/>
    <mergeCell ref="A10:B10"/>
    <mergeCell ref="A11:B11"/>
    <mergeCell ref="A12:B12"/>
    <mergeCell ref="A1:B1"/>
    <mergeCell ref="A2:O2"/>
    <mergeCell ref="A3:B3"/>
    <mergeCell ref="A4:A7"/>
    <mergeCell ref="A8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3" sqref="A3"/>
    </sheetView>
  </sheetViews>
  <sheetFormatPr defaultColWidth="11.42578125" defaultRowHeight="15"/>
  <cols>
    <col min="1" max="1" width="21.85546875" customWidth="1"/>
    <col min="2" max="2" width="20.5703125" customWidth="1"/>
  </cols>
  <sheetData>
    <row r="1" spans="1:2">
      <c r="A1" s="23"/>
      <c r="B1" s="24" t="s">
        <v>57</v>
      </c>
    </row>
    <row r="2" spans="1:2">
      <c r="A2" s="76" t="s">
        <v>28</v>
      </c>
      <c r="B2" s="76"/>
    </row>
    <row r="3" spans="1:2">
      <c r="A3" s="17" t="s">
        <v>93</v>
      </c>
      <c r="B3" s="28">
        <f>3*50</f>
        <v>150</v>
      </c>
    </row>
    <row r="4" spans="1:2">
      <c r="A4" s="17" t="s">
        <v>88</v>
      </c>
      <c r="B4" s="28">
        <v>16.66</v>
      </c>
    </row>
    <row r="5" spans="1:2">
      <c r="A5" s="25" t="s">
        <v>12</v>
      </c>
      <c r="B5" s="29">
        <f>SUM(B3:B4)</f>
        <v>166.66</v>
      </c>
    </row>
  </sheetData>
  <mergeCells count="1"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1"/>
    </sheetView>
  </sheetViews>
  <sheetFormatPr defaultColWidth="11.42578125" defaultRowHeight="15"/>
  <cols>
    <col min="1" max="1" width="35" bestFit="1" customWidth="1"/>
    <col min="2" max="4" width="9.28515625" bestFit="1" customWidth="1"/>
    <col min="5" max="5" width="11" bestFit="1" customWidth="1"/>
    <col min="6" max="6" width="9.28515625" bestFit="1" customWidth="1"/>
    <col min="7" max="7" width="10.28515625" bestFit="1" customWidth="1"/>
    <col min="8" max="8" width="10.140625" bestFit="1" customWidth="1"/>
    <col min="9" max="13" width="9.28515625" bestFit="1" customWidth="1"/>
    <col min="14" max="14" width="10.7109375" bestFit="1" customWidth="1"/>
  </cols>
  <sheetData>
    <row r="1" spans="1:14" ht="25.5">
      <c r="A1" s="32"/>
      <c r="B1" s="33" t="s">
        <v>9</v>
      </c>
      <c r="C1" s="33" t="s">
        <v>10</v>
      </c>
      <c r="D1" s="33" t="s">
        <v>11</v>
      </c>
      <c r="E1" s="33" t="s">
        <v>0</v>
      </c>
      <c r="F1" s="33" t="s">
        <v>1</v>
      </c>
      <c r="G1" s="33" t="s">
        <v>2</v>
      </c>
      <c r="H1" s="33" t="s">
        <v>3</v>
      </c>
      <c r="I1" s="33" t="s">
        <v>4</v>
      </c>
      <c r="J1" s="33" t="s">
        <v>5</v>
      </c>
      <c r="K1" s="33" t="s">
        <v>6</v>
      </c>
      <c r="L1" s="33" t="s">
        <v>7</v>
      </c>
      <c r="M1" s="33" t="s">
        <v>8</v>
      </c>
      <c r="N1" s="33" t="s">
        <v>12</v>
      </c>
    </row>
    <row r="2" spans="1:14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>
      <c r="A3" s="34" t="s">
        <v>60</v>
      </c>
      <c r="B3" s="57">
        <v>200</v>
      </c>
      <c r="C3" s="57">
        <v>0</v>
      </c>
      <c r="D3" s="57">
        <v>200</v>
      </c>
      <c r="E3" s="57">
        <v>200</v>
      </c>
      <c r="F3" s="57">
        <v>0</v>
      </c>
      <c r="G3" s="57">
        <v>200</v>
      </c>
      <c r="H3" s="57">
        <v>0</v>
      </c>
      <c r="I3" s="57">
        <v>200</v>
      </c>
      <c r="J3" s="57">
        <v>0</v>
      </c>
      <c r="K3" s="57">
        <v>200</v>
      </c>
      <c r="L3" s="57">
        <v>200</v>
      </c>
      <c r="M3" s="57">
        <v>400</v>
      </c>
      <c r="N3" s="58">
        <f t="shared" ref="N3:N20" si="0">SUM(B3:M3)</f>
        <v>1800</v>
      </c>
    </row>
    <row r="4" spans="1:14">
      <c r="A4" s="34" t="s">
        <v>61</v>
      </c>
      <c r="B4" s="57">
        <v>40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8">
        <f t="shared" si="0"/>
        <v>40</v>
      </c>
    </row>
    <row r="5" spans="1:14">
      <c r="A5" s="34" t="s">
        <v>62</v>
      </c>
      <c r="B5" s="57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8">
        <f t="shared" si="0"/>
        <v>0</v>
      </c>
    </row>
    <row r="6" spans="1:14">
      <c r="A6" s="34" t="s">
        <v>63</v>
      </c>
      <c r="B6" s="57">
        <v>0</v>
      </c>
      <c r="C6" s="57">
        <v>0</v>
      </c>
      <c r="D6" s="57">
        <v>200</v>
      </c>
      <c r="E6" s="57">
        <v>0</v>
      </c>
      <c r="F6" s="57">
        <v>0</v>
      </c>
      <c r="G6" s="57">
        <v>0</v>
      </c>
      <c r="H6" s="57">
        <v>200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8">
        <f t="shared" si="0"/>
        <v>400</v>
      </c>
    </row>
    <row r="7" spans="1:14">
      <c r="A7" s="34" t="s">
        <v>64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f t="shared" si="0"/>
        <v>0</v>
      </c>
    </row>
    <row r="8" spans="1:14">
      <c r="A8" s="34" t="s">
        <v>65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8">
        <f t="shared" si="0"/>
        <v>0</v>
      </c>
    </row>
    <row r="9" spans="1:14">
      <c r="A9" s="35" t="s">
        <v>66</v>
      </c>
      <c r="B9" s="57">
        <v>0</v>
      </c>
      <c r="C9" s="57">
        <v>200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f t="shared" si="0"/>
        <v>200</v>
      </c>
    </row>
    <row r="10" spans="1:14">
      <c r="A10" s="35" t="s">
        <v>67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8">
        <f t="shared" si="0"/>
        <v>0</v>
      </c>
    </row>
    <row r="11" spans="1:14">
      <c r="A11" s="35" t="s">
        <v>87</v>
      </c>
      <c r="B11" s="57">
        <v>0</v>
      </c>
      <c r="C11" s="57">
        <v>0</v>
      </c>
      <c r="D11" s="57">
        <v>125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8">
        <f t="shared" si="0"/>
        <v>125</v>
      </c>
    </row>
    <row r="12" spans="1:14">
      <c r="A12" s="35" t="s">
        <v>68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8">
        <f t="shared" si="0"/>
        <v>0</v>
      </c>
    </row>
    <row r="13" spans="1:14">
      <c r="A13" s="35" t="s">
        <v>69</v>
      </c>
      <c r="B13" s="57">
        <v>0</v>
      </c>
      <c r="C13" s="57">
        <v>0</v>
      </c>
      <c r="D13" s="57">
        <v>0</v>
      </c>
      <c r="E13" s="59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8">
        <f t="shared" si="0"/>
        <v>0</v>
      </c>
    </row>
    <row r="14" spans="1:14">
      <c r="A14" s="35" t="s">
        <v>70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8">
        <f t="shared" si="0"/>
        <v>0</v>
      </c>
    </row>
    <row r="15" spans="1:14">
      <c r="A15" s="35" t="s">
        <v>71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8">
        <f t="shared" si="0"/>
        <v>0</v>
      </c>
    </row>
    <row r="16" spans="1:14">
      <c r="A16" s="35" t="s">
        <v>72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8">
        <f t="shared" si="0"/>
        <v>0</v>
      </c>
    </row>
    <row r="17" spans="1:14">
      <c r="A17" s="35" t="s">
        <v>73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 t="shared" si="0"/>
        <v>0</v>
      </c>
    </row>
    <row r="18" spans="1:14">
      <c r="A18" s="35" t="s">
        <v>74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8">
        <f t="shared" si="0"/>
        <v>0</v>
      </c>
    </row>
    <row r="19" spans="1:14">
      <c r="A19" s="35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8">
        <f t="shared" si="0"/>
        <v>0</v>
      </c>
    </row>
    <row r="20" spans="1:14">
      <c r="A20" s="34" t="s">
        <v>76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8">
        <f t="shared" si="0"/>
        <v>0</v>
      </c>
    </row>
    <row r="21" spans="1:14">
      <c r="A21" s="36" t="s">
        <v>77</v>
      </c>
      <c r="B21" s="58">
        <f>SUM(B3:B20)</f>
        <v>240</v>
      </c>
      <c r="C21" s="58">
        <f>SUM(C3:C20)</f>
        <v>200</v>
      </c>
      <c r="D21" s="58">
        <f>SUM(D3:D20)</f>
        <v>525</v>
      </c>
      <c r="E21" s="58">
        <f t="shared" ref="E21:N21" si="1">SUM(E3:E20)</f>
        <v>200</v>
      </c>
      <c r="F21" s="58">
        <f t="shared" si="1"/>
        <v>0</v>
      </c>
      <c r="G21" s="58">
        <f t="shared" si="1"/>
        <v>200</v>
      </c>
      <c r="H21" s="58">
        <f t="shared" si="1"/>
        <v>200</v>
      </c>
      <c r="I21" s="58">
        <f t="shared" si="1"/>
        <v>200</v>
      </c>
      <c r="J21" s="58">
        <f t="shared" si="1"/>
        <v>0</v>
      </c>
      <c r="K21" s="58">
        <f t="shared" si="1"/>
        <v>200</v>
      </c>
      <c r="L21" s="58">
        <f t="shared" si="1"/>
        <v>200</v>
      </c>
      <c r="M21" s="58">
        <f t="shared" si="1"/>
        <v>400</v>
      </c>
      <c r="N21" s="58">
        <f t="shared" si="1"/>
        <v>2565</v>
      </c>
    </row>
  </sheetData>
  <mergeCells count="1"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provisoire 2013-2014</vt:lpstr>
      <vt:lpstr>Année financière 2013-2014</vt:lpstr>
      <vt:lpstr>Salaire du secrétariat</vt:lpstr>
      <vt:lpstr>Quotes-parts</vt:lpstr>
      <vt:lpstr>Repas</vt:lpstr>
      <vt:lpstr>Stationnement et hébergement</vt:lpstr>
      <vt:lpstr>Frais de représentation</vt:lpstr>
      <vt:lpstr>Télécommunication</vt:lpstr>
      <vt:lpstr>Promotion et sensibilisation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Laberge</dc:creator>
  <cp:lastModifiedBy>PGSS Archivist</cp:lastModifiedBy>
  <dcterms:created xsi:type="dcterms:W3CDTF">2013-06-06T22:49:35Z</dcterms:created>
  <dcterms:modified xsi:type="dcterms:W3CDTF">2013-09-30T14:03:41Z</dcterms:modified>
</cp:coreProperties>
</file>