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aseFee">'Sheet1'!$D$53</definedName>
    <definedName name="CampusLifeFund">'Sheet1'!$D$72</definedName>
    <definedName name="EnvironmentalFee">'Sheet1'!$D$71</definedName>
    <definedName name="GlobalTotalRevFoodBev">'[1]Global'!$C$70</definedName>
    <definedName name="MidnightKitchenFee">'Sheet1'!$D$70</definedName>
    <definedName name="_xlnm.Print_Area" localSheetId="0">'Sheet1'!$A$1:$F$393</definedName>
    <definedName name="ReferralFee">'Sheet1'!$D$64</definedName>
    <definedName name="RevHavenBooks">'Sheet1'!$D$170</definedName>
    <definedName name="TotalRev">'Sheet1'!$D$83</definedName>
    <definedName name="TotalRevGovernance">'Sheet1'!$D$223</definedName>
    <definedName name="TotalRevMediaAct">'Sheet1'!$D$338</definedName>
    <definedName name="TotalRevProgrammingAct">'Sheet1'!$D$255</definedName>
    <definedName name="TotalRevSecurity">'Sheet1'!$D$103</definedName>
    <definedName name="TotalRevServices">'Sheet1'!$D$371</definedName>
    <definedName name="TotalRevUniCentre">'Sheet1'!$D$122</definedName>
    <definedName name="TribuneFee">'Sheet1'!$D$69</definedName>
  </definedNames>
  <calcPr fullCalcOnLoad="1"/>
</workbook>
</file>

<file path=xl/comments1.xml><?xml version="1.0" encoding="utf-8"?>
<comments xmlns="http://schemas.openxmlformats.org/spreadsheetml/2006/main">
  <authors>
    <author>steven.tamas</author>
    <author>jracct1</author>
  </authors>
  <commentList>
    <comment ref="C54" authorId="0">
      <text>
        <r>
          <rPr>
            <b/>
            <sz val="10"/>
            <rFont val="Tahoma"/>
            <family val="0"/>
          </rPr>
          <t>steven.tamas:</t>
        </r>
        <r>
          <rPr>
            <sz val="10"/>
            <rFont val="Tahoma"/>
            <family val="0"/>
          </rPr>
          <t xml:space="preserve">
BASED ON SEPT 2008 MCGILL PAYMENT</t>
        </r>
      </text>
    </comment>
    <comment ref="D54" authorId="0">
      <text>
        <r>
          <rPr>
            <b/>
            <sz val="10"/>
            <rFont val="Tahoma"/>
            <family val="0"/>
          </rPr>
          <t>steven.tamas:</t>
        </r>
        <r>
          <rPr>
            <sz val="10"/>
            <rFont val="Tahoma"/>
            <family val="0"/>
          </rPr>
          <t xml:space="preserve">
BASED ON SEPT 2008 MCGILL PAYMENT</t>
        </r>
      </text>
    </comment>
    <comment ref="E54" authorId="1">
      <text>
        <r>
          <rPr>
            <b/>
            <sz val="8"/>
            <rFont val="Tahoma"/>
            <family val="0"/>
          </rPr>
          <t>jracct1:</t>
        </r>
        <r>
          <rPr>
            <sz val="8"/>
            <rFont val="Tahoma"/>
            <family val="0"/>
          </rPr>
          <t xml:space="preserve">
BASED ON SEPT 2008 MCGILL PAYMENT
</t>
        </r>
      </text>
    </comment>
    <comment ref="F54" authorId="1">
      <text>
        <r>
          <rPr>
            <b/>
            <sz val="8"/>
            <rFont val="Tahoma"/>
            <family val="0"/>
          </rPr>
          <t>jracct1:</t>
        </r>
        <r>
          <rPr>
            <sz val="8"/>
            <rFont val="Tahoma"/>
            <family val="0"/>
          </rPr>
          <t xml:space="preserve">
BASED ON SEPT 2008 MCGILL PAYMENT
</t>
        </r>
      </text>
    </comment>
  </commentList>
</comments>
</file>

<file path=xl/sharedStrings.xml><?xml version="1.0" encoding="utf-8"?>
<sst xmlns="http://schemas.openxmlformats.org/spreadsheetml/2006/main" count="475" uniqueCount="200">
  <si>
    <t>UNLINKED</t>
  </si>
  <si>
    <t>Approved by</t>
  </si>
  <si>
    <t xml:space="preserve"> October 2009</t>
  </si>
  <si>
    <t>Council April 02,09</t>
  </si>
  <si>
    <t xml:space="preserve">Revised Budget </t>
  </si>
  <si>
    <t xml:space="preserve">Actuals </t>
  </si>
  <si>
    <t xml:space="preserve">Budget </t>
  </si>
  <si>
    <t xml:space="preserve">REVENUES  </t>
  </si>
  <si>
    <t>2009-2010</t>
  </si>
  <si>
    <t>2008-2009</t>
  </si>
  <si>
    <t xml:space="preserve">SSMU Base Fee </t>
  </si>
  <si>
    <t xml:space="preserve">Referral Services Fee </t>
  </si>
  <si>
    <t>McGill Tribune Fee</t>
  </si>
  <si>
    <t>Midnight Kitchen Fee</t>
  </si>
  <si>
    <t xml:space="preserve">Environment Fee </t>
  </si>
  <si>
    <t xml:space="preserve">Campus Life Fund Fee </t>
  </si>
  <si>
    <t>Alumni Donation  (reversal)</t>
  </si>
  <si>
    <t>Sub-total Fee Revenues (Note 1)</t>
  </si>
  <si>
    <t>General Administration</t>
  </si>
  <si>
    <t>Security</t>
  </si>
  <si>
    <t>Food &amp; Beverage operations</t>
  </si>
  <si>
    <t xml:space="preserve">University Center (Shatner Building) </t>
  </si>
  <si>
    <t xml:space="preserve">Governance </t>
  </si>
  <si>
    <t xml:space="preserve">Programming Activities </t>
  </si>
  <si>
    <t xml:space="preserve">Services </t>
  </si>
  <si>
    <t>Affiliated clubs</t>
  </si>
  <si>
    <t xml:space="preserve">Clubs </t>
  </si>
  <si>
    <t>Sub-total Operating Revenues (Note2)</t>
  </si>
  <si>
    <t xml:space="preserve">Total Revenues </t>
  </si>
  <si>
    <t xml:space="preserve">EXPENSES </t>
  </si>
  <si>
    <t>Clubs  (Accounting adjustment)</t>
  </si>
  <si>
    <t>Sub-total Operating Expenses (Note2)</t>
  </si>
  <si>
    <t xml:space="preserve">Library Repayment </t>
  </si>
  <si>
    <t xml:space="preserve">CERF By-Law requirement </t>
  </si>
  <si>
    <t xml:space="preserve">Sub-total Commitments </t>
  </si>
  <si>
    <t xml:space="preserve">Total Expenses </t>
  </si>
  <si>
    <t xml:space="preserve">Surplus (deficit) </t>
  </si>
  <si>
    <t xml:space="preserve">TYPE OF FEE </t>
  </si>
  <si>
    <t>SSMU Base Fee ($ 38.76/ sem)</t>
  </si>
  <si>
    <t xml:space="preserve"> - SSMU operational ($ 37.26/sem)</t>
  </si>
  <si>
    <t xml:space="preserve"> - Sexual Assault Center ($0.75/sem)</t>
  </si>
  <si>
    <t xml:space="preserve"> - McGill Nightline Fee ($0.05/sem)</t>
  </si>
  <si>
    <t xml:space="preserve"> - TV McGill</t>
  </si>
  <si>
    <t xml:space="preserve"> - Space Fee ($1.00/sem)</t>
  </si>
  <si>
    <t xml:space="preserve"> - Safety Networks   ($0.50/sem)</t>
  </si>
  <si>
    <t xml:space="preserve">First Aid    ($0.23/sem)         </t>
  </si>
  <si>
    <t>Walk Safe  ($0.17/sem)</t>
  </si>
  <si>
    <t>Drive Safe  ($0.10/sem)</t>
  </si>
  <si>
    <t xml:space="preserve">Referral Services Fee  ($1.75/sem)  </t>
  </si>
  <si>
    <t xml:space="preserve">- Queer McGill ($1.00/sem) </t>
  </si>
  <si>
    <t xml:space="preserve">- UGE  ($ 0.35/sem) </t>
  </si>
  <si>
    <r>
      <t xml:space="preserve">- </t>
    </r>
    <r>
      <rPr>
        <sz val="10"/>
        <rFont val="Sylfaen"/>
        <family val="1"/>
      </rPr>
      <t>McGill Nightline ($0.40/sem)</t>
    </r>
  </si>
  <si>
    <t xml:space="preserve">McGill Tribune Fee ($0.50/sem) </t>
  </si>
  <si>
    <t xml:space="preserve">Midnight Kitchen Fee ($1.25/sem) </t>
  </si>
  <si>
    <t>Environment Fee ($1.25/sem)</t>
  </si>
  <si>
    <t xml:space="preserve">Campus Life Fund ($2.00/sem) </t>
  </si>
  <si>
    <t>GENERAL ADMINSTRATION</t>
  </si>
  <si>
    <t xml:space="preserve">Revenues </t>
  </si>
  <si>
    <t xml:space="preserve">Interest Income </t>
  </si>
  <si>
    <t xml:space="preserve">Admin Fees revenue </t>
  </si>
  <si>
    <t xml:space="preserve">Other revenues </t>
  </si>
  <si>
    <t xml:space="preserve">Total Revenues  </t>
  </si>
  <si>
    <t xml:space="preserve">Expenses </t>
  </si>
  <si>
    <t xml:space="preserve">Photocopying </t>
  </si>
  <si>
    <t xml:space="preserve">Office operations </t>
  </si>
  <si>
    <t>Bank charges &amp; Interest</t>
  </si>
  <si>
    <t xml:space="preserve">Telephones </t>
  </si>
  <si>
    <t xml:space="preserve">Professional fees </t>
  </si>
  <si>
    <t xml:space="preserve">Salaries and benefits </t>
  </si>
  <si>
    <t xml:space="preserve">Network and computer expenses  </t>
  </si>
  <si>
    <t xml:space="preserve">Other expenses </t>
  </si>
  <si>
    <t>Total Expenses</t>
  </si>
  <si>
    <t xml:space="preserve">SECURITY </t>
  </si>
  <si>
    <t xml:space="preserve">Security Revenue </t>
  </si>
  <si>
    <t xml:space="preserve">Materials &amp; Supplies </t>
  </si>
  <si>
    <t xml:space="preserve">Security (sub-contractors) </t>
  </si>
  <si>
    <t xml:space="preserve">Salaries </t>
  </si>
  <si>
    <t xml:space="preserve">Equipment &amp; Other expenses </t>
  </si>
  <si>
    <t>Surplus (deficit)</t>
  </si>
  <si>
    <t>GERTS</t>
  </si>
  <si>
    <t xml:space="preserve">Beer &amp; Liquor Sales </t>
  </si>
  <si>
    <t xml:space="preserve">Cost of Sales </t>
  </si>
  <si>
    <t xml:space="preserve">Gross margin </t>
  </si>
  <si>
    <t xml:space="preserve">Bar Rental </t>
  </si>
  <si>
    <t>Coat check  and games revenue</t>
  </si>
  <si>
    <t xml:space="preserve">Sponsorship Cases </t>
  </si>
  <si>
    <t xml:space="preserve">Other Revenues </t>
  </si>
  <si>
    <t xml:space="preserve">Profit margin </t>
  </si>
  <si>
    <t xml:space="preserve">Repairs </t>
  </si>
  <si>
    <t xml:space="preserve">Security </t>
  </si>
  <si>
    <t>Advertising &amp; Promotions</t>
  </si>
  <si>
    <t xml:space="preserve">Insurance permits </t>
  </si>
  <si>
    <t>Equipment</t>
  </si>
  <si>
    <t xml:space="preserve">Cleaning Services </t>
  </si>
  <si>
    <t xml:space="preserve">HAVEN BOOKS </t>
  </si>
  <si>
    <t xml:space="preserve">Book &amp; merchandise sales </t>
  </si>
  <si>
    <t xml:space="preserve">Materials &amp; supplies </t>
  </si>
  <si>
    <t xml:space="preserve">Rent </t>
  </si>
  <si>
    <t>Bank charges</t>
  </si>
  <si>
    <t xml:space="preserve">Advertising &amp; Promotions  </t>
  </si>
  <si>
    <t>Telephones</t>
  </si>
  <si>
    <t xml:space="preserve">Computer Expenses </t>
  </si>
  <si>
    <t xml:space="preserve">Contract services  </t>
  </si>
  <si>
    <t xml:space="preserve">UNIVERSITY CENTER </t>
  </si>
  <si>
    <t xml:space="preserve">Room Rentals </t>
  </si>
  <si>
    <t xml:space="preserve">Business rentals </t>
  </si>
  <si>
    <t xml:space="preserve">Parking rentals </t>
  </si>
  <si>
    <t xml:space="preserve">Porter revenues </t>
  </si>
  <si>
    <t>Other revenues</t>
  </si>
  <si>
    <t>Repairs &amp; Maintenance</t>
  </si>
  <si>
    <t xml:space="preserve">Building rent </t>
  </si>
  <si>
    <t>Alterations</t>
  </si>
  <si>
    <t xml:space="preserve">Insurance Permits </t>
  </si>
  <si>
    <t xml:space="preserve">Contract services </t>
  </si>
  <si>
    <t xml:space="preserve">Other Expenses </t>
  </si>
  <si>
    <t xml:space="preserve">Sponsorship transfer </t>
  </si>
  <si>
    <t xml:space="preserve">GOVERNANCE </t>
  </si>
  <si>
    <t xml:space="preserve">Revenue </t>
  </si>
  <si>
    <t>Communications</t>
  </si>
  <si>
    <t xml:space="preserve">Elections McGill </t>
  </si>
  <si>
    <t xml:space="preserve">Equity </t>
  </si>
  <si>
    <t xml:space="preserve">Sponsorship </t>
  </si>
  <si>
    <t xml:space="preserve">Executive Portfolios </t>
  </si>
  <si>
    <t>Communication</t>
  </si>
  <si>
    <t>FYCC</t>
  </si>
  <si>
    <t xml:space="preserve">Research &amp; University Relations </t>
  </si>
  <si>
    <t xml:space="preserve">Campaigns </t>
  </si>
  <si>
    <t>External Affairs</t>
  </si>
  <si>
    <t xml:space="preserve">Community Relations </t>
  </si>
  <si>
    <t xml:space="preserve">Council </t>
  </si>
  <si>
    <t xml:space="preserve">General Assembly </t>
  </si>
  <si>
    <t xml:space="preserve">Campus Life Fund </t>
  </si>
  <si>
    <t xml:space="preserve">Environment </t>
  </si>
  <si>
    <t>PROGRAMMING ACTIVITIES</t>
  </si>
  <si>
    <t>Frosh</t>
  </si>
  <si>
    <t xml:space="preserve">IC 3 </t>
  </si>
  <si>
    <t>Affaires francophone</t>
  </si>
  <si>
    <t>Social Justice Day</t>
  </si>
  <si>
    <t>Culture Shock</t>
  </si>
  <si>
    <t xml:space="preserve">Activities Night </t>
  </si>
  <si>
    <t xml:space="preserve">4 Floors </t>
  </si>
  <si>
    <t xml:space="preserve">Snow-AP </t>
  </si>
  <si>
    <t xml:space="preserve">Movies-in-the-Park </t>
  </si>
  <si>
    <t xml:space="preserve">Faculty Olympics </t>
  </si>
  <si>
    <t xml:space="preserve">Athletics </t>
  </si>
  <si>
    <t>SSPN</t>
  </si>
  <si>
    <t xml:space="preserve">Street Fest </t>
  </si>
  <si>
    <t xml:space="preserve">Awards Banquet </t>
  </si>
  <si>
    <t>Concerts &amp; Conferences</t>
  </si>
  <si>
    <t xml:space="preserve">MCGILL TRIBUNE </t>
  </si>
  <si>
    <r>
      <t>Student Fees (</t>
    </r>
    <r>
      <rPr>
        <i/>
        <sz val="10"/>
        <rFont val="Sylfaen"/>
        <family val="1"/>
      </rPr>
      <t>Note 1</t>
    </r>
    <r>
      <rPr>
        <sz val="10"/>
        <rFont val="Sylfaen"/>
        <family val="1"/>
      </rPr>
      <t xml:space="preserve">) </t>
    </r>
  </si>
  <si>
    <t xml:space="preserve">Advertising revenue </t>
  </si>
  <si>
    <t xml:space="preserve">Other revenue </t>
  </si>
  <si>
    <t xml:space="preserve">Stipends </t>
  </si>
  <si>
    <t xml:space="preserve">Publishing </t>
  </si>
  <si>
    <t xml:space="preserve">HANDBOOK </t>
  </si>
  <si>
    <r>
      <t xml:space="preserve">Revenues </t>
    </r>
    <r>
      <rPr>
        <sz val="10"/>
        <rFont val="Sylfaen"/>
        <family val="1"/>
      </rPr>
      <t xml:space="preserve"> </t>
    </r>
  </si>
  <si>
    <t xml:space="preserve">Commissions </t>
  </si>
  <si>
    <t>Bad debt</t>
  </si>
  <si>
    <t>Computer expenses</t>
  </si>
  <si>
    <t xml:space="preserve">OLD MCGILL </t>
  </si>
  <si>
    <t xml:space="preserve">Advertising revenue &amp; sales  </t>
  </si>
  <si>
    <t>Stipends  and benefits</t>
  </si>
  <si>
    <t xml:space="preserve">McGill Tribune (excl. fees) </t>
  </si>
  <si>
    <t xml:space="preserve">Handbook </t>
  </si>
  <si>
    <t xml:space="preserve">Old McGill </t>
  </si>
  <si>
    <t>Website</t>
  </si>
  <si>
    <t xml:space="preserve">McGill Tribune </t>
  </si>
  <si>
    <t xml:space="preserve">Webpage </t>
  </si>
  <si>
    <t>SERVICES</t>
  </si>
  <si>
    <t xml:space="preserve">TV McGill </t>
  </si>
  <si>
    <t>MISN</t>
  </si>
  <si>
    <t xml:space="preserve">First Aid  </t>
  </si>
  <si>
    <t>Midnight Kitchen</t>
  </si>
  <si>
    <t xml:space="preserve">Players’ Theatre </t>
  </si>
  <si>
    <t>Drive Safe</t>
  </si>
  <si>
    <t xml:space="preserve">Sexual Assault Center </t>
  </si>
  <si>
    <t xml:space="preserve">Queer McGill </t>
  </si>
  <si>
    <t>McGill Nighline</t>
  </si>
  <si>
    <t xml:space="preserve">Organic Campus </t>
  </si>
  <si>
    <t xml:space="preserve">Union for Gender Empowerment </t>
  </si>
  <si>
    <t xml:space="preserve">Savoy Society </t>
  </si>
  <si>
    <t xml:space="preserve">Walk Safe </t>
  </si>
  <si>
    <t xml:space="preserve">Black Students’ Network </t>
  </si>
  <si>
    <t>MRSA</t>
  </si>
  <si>
    <t>Bike Collective</t>
  </si>
  <si>
    <t xml:space="preserve">Harm Reduction Center </t>
  </si>
  <si>
    <t xml:space="preserve">Volunteer Program </t>
  </si>
  <si>
    <t xml:space="preserve">MRSA </t>
  </si>
  <si>
    <t>SSMU Funds</t>
  </si>
  <si>
    <t>Space fee</t>
  </si>
  <si>
    <t>OPERATIONS</t>
  </si>
  <si>
    <t>Gert's</t>
  </si>
  <si>
    <t>Haven</t>
  </si>
  <si>
    <t>Mini-courses</t>
  </si>
  <si>
    <t>Operations</t>
  </si>
  <si>
    <t>Media &amp; Communications Activities</t>
  </si>
  <si>
    <t xml:space="preserve">MEDIA  &amp; COMMUNICATIONS </t>
  </si>
  <si>
    <t>Total funding</t>
  </si>
  <si>
    <t>November 12,2009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</si>
</sst>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(* #,##0.00_);_(* \(#,##0.00\);_(* &quot;-&quot;????_);_(@_)"/>
    <numFmt numFmtId="167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u val="single"/>
      <sz val="10"/>
      <name val="Sylfaen"/>
      <family val="1"/>
    </font>
    <font>
      <i/>
      <sz val="10"/>
      <name val="Sylfaen"/>
      <family val="1"/>
    </font>
    <font>
      <sz val="10"/>
      <color indexed="12"/>
      <name val="Sylfaen"/>
      <family val="1"/>
    </font>
    <font>
      <u val="single"/>
      <sz val="10"/>
      <name val="Arial"/>
      <family val="0"/>
    </font>
    <font>
      <b/>
      <sz val="11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u val="singleAccounting"/>
      <sz val="10"/>
      <name val="Sylfaen"/>
      <family val="1"/>
    </font>
    <font>
      <sz val="9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5" fontId="0" fillId="0" borderId="0" xfId="0" applyNumberFormat="1" applyAlignment="1">
      <alignment/>
    </xf>
    <xf numFmtId="43" fontId="0" fillId="0" borderId="0" xfId="15" applyFont="1" applyFill="1" applyAlignment="1">
      <alignment/>
    </xf>
    <xf numFmtId="0" fontId="0" fillId="0" borderId="0" xfId="0" applyFill="1" applyAlignment="1">
      <alignment/>
    </xf>
    <xf numFmtId="15" fontId="2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15" applyFont="1" applyFill="1" applyAlignment="1">
      <alignment/>
    </xf>
    <xf numFmtId="43" fontId="4" fillId="0" borderId="0" xfId="15" applyFont="1" applyAlignment="1">
      <alignment/>
    </xf>
    <xf numFmtId="0" fontId="0" fillId="0" borderId="0" xfId="0" applyFont="1" applyAlignment="1">
      <alignment/>
    </xf>
    <xf numFmtId="43" fontId="5" fillId="0" borderId="0" xfId="15" applyFont="1" applyFill="1" applyAlignment="1">
      <alignment/>
    </xf>
    <xf numFmtId="43" fontId="5" fillId="0" borderId="0" xfId="15" applyFont="1" applyAlignment="1">
      <alignment/>
    </xf>
    <xf numFmtId="0" fontId="6" fillId="0" borderId="0" xfId="0" applyFont="1" applyAlignment="1">
      <alignment/>
    </xf>
    <xf numFmtId="43" fontId="6" fillId="0" borderId="0" xfId="15" applyFont="1" applyFill="1" applyAlignment="1">
      <alignment/>
    </xf>
    <xf numFmtId="43" fontId="6" fillId="0" borderId="0" xfId="15" applyFont="1" applyAlignment="1">
      <alignment/>
    </xf>
    <xf numFmtId="43" fontId="4" fillId="0" borderId="0" xfId="15" applyFont="1" applyAlignment="1">
      <alignment horizontal="right"/>
    </xf>
    <xf numFmtId="43" fontId="5" fillId="0" borderId="0" xfId="15" applyFont="1" applyAlignment="1">
      <alignment horizontal="right"/>
    </xf>
    <xf numFmtId="43" fontId="0" fillId="0" borderId="0" xfId="15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3" fontId="3" fillId="0" borderId="0" xfId="15" applyFont="1" applyFill="1" applyAlignment="1">
      <alignment/>
    </xf>
    <xf numFmtId="0" fontId="3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Alignment="1">
      <alignment/>
    </xf>
    <xf numFmtId="43" fontId="7" fillId="0" borderId="0" xfId="15" applyFont="1" applyFill="1" applyAlignment="1">
      <alignment/>
    </xf>
    <xf numFmtId="43" fontId="7" fillId="0" borderId="0" xfId="15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43" fontId="8" fillId="0" borderId="0" xfId="15" applyFont="1" applyFill="1" applyAlignment="1">
      <alignment/>
    </xf>
    <xf numFmtId="43" fontId="8" fillId="0" borderId="0" xfId="15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3" fontId="2" fillId="0" borderId="0" xfId="15" applyFont="1" applyAlignment="1">
      <alignment/>
    </xf>
    <xf numFmtId="43" fontId="9" fillId="0" borderId="0" xfId="15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/>
    </xf>
    <xf numFmtId="43" fontId="11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justify"/>
    </xf>
    <xf numFmtId="43" fontId="2" fillId="0" borderId="0" xfId="15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4" fillId="0" borderId="0" xfId="0" applyFont="1" applyAlignment="1">
      <alignment horizontal="justify"/>
    </xf>
    <xf numFmtId="4" fontId="4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Fill="1" applyAlignment="1">
      <alignment horizontal="justify"/>
    </xf>
    <xf numFmtId="43" fontId="2" fillId="0" borderId="0" xfId="15" applyNumberFormat="1" applyFont="1" applyFill="1" applyAlignment="1">
      <alignment horizontal="right"/>
    </xf>
    <xf numFmtId="43" fontId="2" fillId="0" borderId="0" xfId="15" applyNumberFormat="1" applyFont="1" applyAlignment="1">
      <alignment horizontal="right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43" fontId="2" fillId="0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39" fontId="4" fillId="0" borderId="0" xfId="0" applyNumberFormat="1" applyFont="1" applyFill="1" applyAlignment="1">
      <alignment horizontal="right"/>
    </xf>
    <xf numFmtId="39" fontId="4" fillId="0" borderId="0" xfId="0" applyNumberFormat="1" applyFont="1" applyAlignment="1">
      <alignment horizontal="right"/>
    </xf>
    <xf numFmtId="39" fontId="5" fillId="0" borderId="0" xfId="0" applyNumberFormat="1" applyFont="1" applyFill="1" applyAlignment="1">
      <alignment horizontal="right"/>
    </xf>
    <xf numFmtId="39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43" fontId="4" fillId="0" borderId="0" xfId="15" applyFont="1" applyFill="1" applyAlignment="1">
      <alignment horizontal="right"/>
    </xf>
    <xf numFmtId="43" fontId="5" fillId="0" borderId="0" xfId="15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justify"/>
    </xf>
    <xf numFmtId="4" fontId="2" fillId="0" borderId="0" xfId="0" applyNumberFormat="1" applyFont="1" applyAlignment="1">
      <alignment horizontal="justify"/>
    </xf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43" fontId="4" fillId="0" borderId="0" xfId="15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3" fontId="12" fillId="0" borderId="0" xfId="15" applyFont="1" applyFill="1" applyAlignment="1">
      <alignment horizontal="right"/>
    </xf>
    <xf numFmtId="43" fontId="12" fillId="0" borderId="0" xfId="15" applyFont="1" applyAlignment="1">
      <alignment horizontal="right"/>
    </xf>
    <xf numFmtId="43" fontId="2" fillId="0" borderId="0" xfId="15" applyFont="1" applyAlignment="1">
      <alignment horizontal="justify"/>
    </xf>
    <xf numFmtId="43" fontId="12" fillId="0" borderId="0" xfId="15" applyFont="1" applyAlignment="1">
      <alignment/>
    </xf>
    <xf numFmtId="43" fontId="6" fillId="0" borderId="0" xfId="15" applyFont="1" applyFill="1" applyAlignment="1">
      <alignment horizontal="justify"/>
    </xf>
    <xf numFmtId="39" fontId="2" fillId="0" borderId="0" xfId="15" applyNumberFormat="1" applyFont="1" applyFill="1" applyAlignment="1">
      <alignment horizontal="right"/>
    </xf>
    <xf numFmtId="166" fontId="2" fillId="0" borderId="0" xfId="15" applyNumberFormat="1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166" fontId="2" fillId="0" borderId="0" xfId="15" applyNumberFormat="1" applyFont="1" applyFill="1" applyAlignment="1">
      <alignment horizontal="right"/>
    </xf>
    <xf numFmtId="43" fontId="2" fillId="0" borderId="0" xfId="15" applyFont="1" applyFill="1" applyAlignment="1">
      <alignment horizontal="right"/>
    </xf>
    <xf numFmtId="43" fontId="2" fillId="0" borderId="0" xfId="15" applyFont="1" applyAlignment="1">
      <alignment horizontal="right"/>
    </xf>
    <xf numFmtId="43" fontId="6" fillId="0" borderId="0" xfId="15" applyFont="1" applyFill="1" applyAlignment="1">
      <alignment horizontal="right"/>
    </xf>
    <xf numFmtId="43" fontId="4" fillId="0" borderId="0" xfId="15" applyFont="1" applyFill="1" applyBorder="1" applyAlignment="1">
      <alignment/>
    </xf>
    <xf numFmtId="43" fontId="4" fillId="0" borderId="0" xfId="15" applyFont="1" applyBorder="1" applyAlignment="1">
      <alignment/>
    </xf>
    <xf numFmtId="43" fontId="12" fillId="0" borderId="0" xfId="15" applyFont="1" applyFill="1" applyAlignment="1">
      <alignment/>
    </xf>
    <xf numFmtId="39" fontId="2" fillId="0" borderId="0" xfId="15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43" fontId="4" fillId="0" borderId="0" xfId="15" applyFont="1" applyFill="1" applyAlignment="1">
      <alignment/>
    </xf>
    <xf numFmtId="43" fontId="4" fillId="0" borderId="0" xfId="15" applyFont="1" applyAlignment="1">
      <alignment/>
    </xf>
    <xf numFmtId="43" fontId="5" fillId="0" borderId="0" xfId="15" applyFont="1" applyFill="1" applyAlignment="1">
      <alignment/>
    </xf>
    <xf numFmtId="43" fontId="5" fillId="0" borderId="0" xfId="15" applyFont="1" applyAlignment="1">
      <alignment/>
    </xf>
    <xf numFmtId="43" fontId="0" fillId="0" borderId="0" xfId="15" applyFont="1" applyFill="1" applyAlignment="1">
      <alignment/>
    </xf>
    <xf numFmtId="0" fontId="15" fillId="0" borderId="0" xfId="0" applyFont="1" applyAlignment="1">
      <alignment horizontal="justify"/>
    </xf>
    <xf numFmtId="43" fontId="0" fillId="0" borderId="0" xfId="0" applyNumberFormat="1" applyFill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15" applyNumberFormat="1" applyFont="1" applyFill="1" applyAlignment="1">
      <alignment/>
    </xf>
    <xf numFmtId="43" fontId="4" fillId="0" borderId="0" xfId="15" applyNumberFormat="1" applyFont="1" applyAlignment="1">
      <alignment/>
    </xf>
    <xf numFmtId="43" fontId="12" fillId="0" borderId="0" xfId="15" applyNumberFormat="1" applyFont="1" applyFill="1" applyAlignment="1">
      <alignment/>
    </xf>
    <xf numFmtId="43" fontId="12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perations\Local%20Settings\Temporary%20Internet%20Files\OLKBD\SSMU%20Master%20Budget%20for%202009-2010%20revision%20October%202009%20counc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Budget"/>
      <sheetName val="April council worksheet"/>
      <sheetName val="Council variations"/>
      <sheetName val="Deficit reduction"/>
      <sheetName val="Budget process"/>
      <sheetName val="Fees"/>
      <sheetName val="Standard Costs"/>
      <sheetName val="Dept List"/>
      <sheetName val="Chart of  Accounts"/>
      <sheetName val="Sample Budget"/>
      <sheetName val="Global"/>
      <sheetName val="1031"/>
      <sheetName val="1210"/>
      <sheetName val="1595"/>
      <sheetName val="1599"/>
      <sheetName val="2022"/>
      <sheetName val="3021"/>
      <sheetName val="3084"/>
      <sheetName val="4010"/>
      <sheetName val="4015"/>
      <sheetName val="4018"/>
      <sheetName val="4019"/>
      <sheetName val="4025"/>
      <sheetName val="4037"/>
      <sheetName val="4039"/>
      <sheetName val="4057"/>
      <sheetName val="4060"/>
      <sheetName val="4070"/>
      <sheetName val="4076"/>
      <sheetName val="4080"/>
      <sheetName val="4081"/>
      <sheetName val="4082"/>
      <sheetName val="4084"/>
      <sheetName val="4085"/>
      <sheetName val="4091"/>
      <sheetName val="5080"/>
      <sheetName val="5081"/>
      <sheetName val="5084"/>
      <sheetName val="5085"/>
      <sheetName val="5086"/>
      <sheetName val="5087"/>
      <sheetName val="5088"/>
      <sheetName val="5527"/>
      <sheetName val="5528"/>
      <sheetName val="5535"/>
      <sheetName val="5558"/>
      <sheetName val="5559"/>
      <sheetName val="5561"/>
      <sheetName val="5562"/>
      <sheetName val="5579"/>
      <sheetName val="6024"/>
      <sheetName val="6036"/>
      <sheetName val="6065"/>
      <sheetName val="7010"/>
      <sheetName val=" 7011"/>
      <sheetName val="7015"/>
      <sheetName val="7020"/>
      <sheetName val="7022"/>
      <sheetName val="7026"/>
      <sheetName val="7030"/>
      <sheetName val="7033"/>
      <sheetName val="7034"/>
      <sheetName val="7035"/>
      <sheetName val="7036"/>
      <sheetName val="7038"/>
      <sheetName val="7040"/>
      <sheetName val="7048"/>
      <sheetName val="7050"/>
      <sheetName val="7074"/>
      <sheetName val="7085"/>
      <sheetName val="7090"/>
      <sheetName val="8056"/>
      <sheetName val="9062"/>
      <sheetName val="9065"/>
    </sheetNames>
    <sheetDataSet>
      <sheetData sheetId="10">
        <row r="22">
          <cell r="E22">
            <v>254000</v>
          </cell>
          <cell r="F22">
            <v>158300</v>
          </cell>
          <cell r="AK22">
            <v>7000</v>
          </cell>
          <cell r="BJ22">
            <v>1000</v>
          </cell>
        </row>
        <row r="37">
          <cell r="E37">
            <v>199336.5064</v>
          </cell>
          <cell r="F37">
            <v>82599.00125</v>
          </cell>
          <cell r="AK37">
            <v>3600</v>
          </cell>
        </row>
        <row r="39">
          <cell r="AN39">
            <v>0</v>
          </cell>
        </row>
        <row r="44">
          <cell r="G44">
            <v>40874</v>
          </cell>
          <cell r="H44">
            <v>1478307.8000000003</v>
          </cell>
          <cell r="AO44">
            <v>17773.28</v>
          </cell>
          <cell r="AS44">
            <v>3339.3800000000006</v>
          </cell>
          <cell r="AU44">
            <v>13894.260000000002</v>
          </cell>
          <cell r="AV44">
            <v>44038.31</v>
          </cell>
          <cell r="AY44">
            <v>3995</v>
          </cell>
          <cell r="BA44">
            <v>35269.65</v>
          </cell>
          <cell r="BB44">
            <v>16080.77</v>
          </cell>
          <cell r="BE44">
            <v>12344.380000000001</v>
          </cell>
          <cell r="BG44">
            <v>6791.4400000000005</v>
          </cell>
          <cell r="BL44">
            <v>69878.25</v>
          </cell>
          <cell r="BM44">
            <v>44511.19</v>
          </cell>
        </row>
        <row r="45">
          <cell r="H45">
            <v>4000</v>
          </cell>
        </row>
        <row r="46">
          <cell r="H46">
            <v>12000</v>
          </cell>
        </row>
        <row r="47">
          <cell r="F47">
            <v>6500</v>
          </cell>
          <cell r="G47">
            <v>15000</v>
          </cell>
        </row>
        <row r="48">
          <cell r="G48">
            <v>0</v>
          </cell>
        </row>
        <row r="49">
          <cell r="G49">
            <v>5000</v>
          </cell>
        </row>
        <row r="50">
          <cell r="G50">
            <v>238157.45</v>
          </cell>
          <cell r="BA50">
            <v>100</v>
          </cell>
        </row>
        <row r="51">
          <cell r="F51">
            <v>2500</v>
          </cell>
        </row>
        <row r="52">
          <cell r="AU52">
            <v>12495</v>
          </cell>
        </row>
        <row r="53">
          <cell r="G53">
            <v>7000</v>
          </cell>
          <cell r="AO53">
            <v>0</v>
          </cell>
        </row>
        <row r="54">
          <cell r="G54">
            <v>4000</v>
          </cell>
        </row>
        <row r="55">
          <cell r="G55">
            <v>5000</v>
          </cell>
        </row>
        <row r="56">
          <cell r="F56">
            <v>5000</v>
          </cell>
          <cell r="AU56">
            <v>1700</v>
          </cell>
          <cell r="AV56">
            <v>2200</v>
          </cell>
          <cell r="AY56">
            <v>5800</v>
          </cell>
          <cell r="AZ56">
            <v>0</v>
          </cell>
          <cell r="BA56">
            <v>2000</v>
          </cell>
          <cell r="BB56">
            <v>2500</v>
          </cell>
          <cell r="BE56">
            <v>500</v>
          </cell>
          <cell r="BG56">
            <v>0</v>
          </cell>
        </row>
        <row r="58">
          <cell r="G58">
            <v>5000</v>
          </cell>
        </row>
        <row r="63">
          <cell r="BA63">
            <v>900</v>
          </cell>
        </row>
        <row r="65">
          <cell r="F65">
            <v>3200</v>
          </cell>
        </row>
        <row r="67">
          <cell r="F67">
            <v>0</v>
          </cell>
          <cell r="H67">
            <v>1000</v>
          </cell>
          <cell r="AO67">
            <v>0</v>
          </cell>
          <cell r="AY67">
            <v>0</v>
          </cell>
        </row>
        <row r="68">
          <cell r="H68">
            <v>1000</v>
          </cell>
        </row>
        <row r="69">
          <cell r="H69">
            <v>75740</v>
          </cell>
        </row>
        <row r="70">
          <cell r="C70">
            <v>17089.98</v>
          </cell>
          <cell r="D70">
            <v>20000</v>
          </cell>
          <cell r="M70">
            <v>0</v>
          </cell>
          <cell r="Q70">
            <v>6850</v>
          </cell>
          <cell r="Z70">
            <v>112156.86</v>
          </cell>
          <cell r="AB70">
            <v>35000</v>
          </cell>
          <cell r="AC70">
            <v>0</v>
          </cell>
          <cell r="AD70">
            <v>10000</v>
          </cell>
          <cell r="AF70">
            <v>1140</v>
          </cell>
          <cell r="AI70">
            <v>0</v>
          </cell>
          <cell r="AJ70">
            <v>2500</v>
          </cell>
          <cell r="AK70">
            <v>7450</v>
          </cell>
          <cell r="AL70">
            <v>0</v>
          </cell>
          <cell r="AM70">
            <v>1500</v>
          </cell>
          <cell r="AN70">
            <v>0</v>
          </cell>
          <cell r="AP70">
            <v>70000</v>
          </cell>
          <cell r="AT70">
            <v>79150</v>
          </cell>
          <cell r="AX70">
            <v>15908</v>
          </cell>
          <cell r="AZ70">
            <v>29962.239999999998</v>
          </cell>
          <cell r="BC70">
            <v>30000</v>
          </cell>
          <cell r="BF70">
            <v>25675</v>
          </cell>
          <cell r="BH70">
            <v>0</v>
          </cell>
          <cell r="BJ70">
            <v>0</v>
          </cell>
          <cell r="BK70">
            <v>4000</v>
          </cell>
        </row>
        <row r="73">
          <cell r="D73">
            <v>1000</v>
          </cell>
          <cell r="E73">
            <v>1000.005</v>
          </cell>
          <cell r="F73">
            <v>1200</v>
          </cell>
          <cell r="G73">
            <v>20000</v>
          </cell>
          <cell r="H73">
            <v>1000</v>
          </cell>
          <cell r="AO73">
            <v>200</v>
          </cell>
        </row>
        <row r="76">
          <cell r="D76">
            <v>500</v>
          </cell>
          <cell r="E76">
            <v>600</v>
          </cell>
          <cell r="F76">
            <v>1000</v>
          </cell>
          <cell r="G76">
            <v>7000</v>
          </cell>
          <cell r="H76">
            <v>2500</v>
          </cell>
          <cell r="AO76">
            <v>0</v>
          </cell>
        </row>
        <row r="77">
          <cell r="E77">
            <v>0</v>
          </cell>
          <cell r="F77">
            <v>0</v>
          </cell>
          <cell r="H77">
            <v>5000</v>
          </cell>
          <cell r="AO77">
            <v>466.22</v>
          </cell>
        </row>
        <row r="78">
          <cell r="G78">
            <v>0</v>
          </cell>
        </row>
        <row r="79">
          <cell r="D79">
            <v>75</v>
          </cell>
          <cell r="E79">
            <v>591.97</v>
          </cell>
          <cell r="H79">
            <v>2000</v>
          </cell>
          <cell r="AO79">
            <v>0</v>
          </cell>
          <cell r="AP79">
            <v>29000</v>
          </cell>
          <cell r="AR79">
            <v>35000</v>
          </cell>
        </row>
        <row r="80">
          <cell r="D80">
            <v>20</v>
          </cell>
          <cell r="E80">
            <v>400</v>
          </cell>
          <cell r="F80">
            <v>100</v>
          </cell>
          <cell r="G80">
            <v>100</v>
          </cell>
          <cell r="H80">
            <v>3000</v>
          </cell>
          <cell r="AO80">
            <v>499.99999999999994</v>
          </cell>
          <cell r="AP80">
            <v>0</v>
          </cell>
          <cell r="AR80">
            <v>0</v>
          </cell>
        </row>
        <row r="81">
          <cell r="E81">
            <v>1600</v>
          </cell>
          <cell r="G81">
            <v>0</v>
          </cell>
          <cell r="AP81">
            <v>0</v>
          </cell>
        </row>
        <row r="83">
          <cell r="D83">
            <v>250</v>
          </cell>
          <cell r="E83">
            <v>1500</v>
          </cell>
          <cell r="F83">
            <v>4500</v>
          </cell>
        </row>
        <row r="84">
          <cell r="F84">
            <v>0</v>
          </cell>
        </row>
        <row r="85">
          <cell r="D85">
            <v>25</v>
          </cell>
          <cell r="E85">
            <v>1.1</v>
          </cell>
          <cell r="F85">
            <v>100</v>
          </cell>
          <cell r="G85">
            <v>50</v>
          </cell>
          <cell r="H85">
            <v>8000</v>
          </cell>
          <cell r="AO85">
            <v>0</v>
          </cell>
          <cell r="AP85">
            <v>1305.34</v>
          </cell>
          <cell r="AR85">
            <v>150</v>
          </cell>
        </row>
        <row r="86">
          <cell r="E86">
            <v>300</v>
          </cell>
          <cell r="F86">
            <v>0</v>
          </cell>
          <cell r="H86">
            <v>9000</v>
          </cell>
        </row>
        <row r="89">
          <cell r="D89">
            <v>2000</v>
          </cell>
          <cell r="H89">
            <v>2000</v>
          </cell>
        </row>
        <row r="91">
          <cell r="D91">
            <v>250</v>
          </cell>
          <cell r="E91">
            <v>0</v>
          </cell>
          <cell r="F91">
            <v>660</v>
          </cell>
          <cell r="H91">
            <v>100</v>
          </cell>
        </row>
        <row r="92">
          <cell r="E92">
            <v>1250</v>
          </cell>
          <cell r="F92">
            <v>8000</v>
          </cell>
          <cell r="H92">
            <v>0</v>
          </cell>
        </row>
        <row r="93">
          <cell r="H93">
            <v>300</v>
          </cell>
        </row>
        <row r="94">
          <cell r="F94">
            <v>1500</v>
          </cell>
        </row>
        <row r="95">
          <cell r="F95">
            <v>1000</v>
          </cell>
          <cell r="H95">
            <v>0</v>
          </cell>
        </row>
        <row r="96">
          <cell r="F96">
            <v>5000</v>
          </cell>
        </row>
        <row r="97">
          <cell r="D97">
            <v>1400.003333333333</v>
          </cell>
          <cell r="F97">
            <v>1300</v>
          </cell>
          <cell r="G97">
            <v>2500</v>
          </cell>
          <cell r="H97">
            <v>5000</v>
          </cell>
        </row>
        <row r="98">
          <cell r="G98">
            <v>0</v>
          </cell>
        </row>
        <row r="99">
          <cell r="G99">
            <v>40874</v>
          </cell>
        </row>
        <row r="100">
          <cell r="D100">
            <v>3400</v>
          </cell>
          <cell r="E100">
            <v>2527.81</v>
          </cell>
          <cell r="F100">
            <v>2800</v>
          </cell>
          <cell r="G100">
            <v>3500</v>
          </cell>
          <cell r="H100">
            <v>15000</v>
          </cell>
          <cell r="AO100">
            <v>1876.44</v>
          </cell>
        </row>
        <row r="101">
          <cell r="E101">
            <v>1233</v>
          </cell>
          <cell r="F101">
            <v>1000.0000000000001</v>
          </cell>
          <cell r="G101">
            <v>34000</v>
          </cell>
          <cell r="H101">
            <v>6750</v>
          </cell>
          <cell r="AO101">
            <v>2500</v>
          </cell>
          <cell r="AP101">
            <v>2500</v>
          </cell>
          <cell r="AR101">
            <v>625</v>
          </cell>
        </row>
        <row r="102">
          <cell r="E102">
            <v>1000</v>
          </cell>
          <cell r="F102">
            <v>0</v>
          </cell>
          <cell r="AP102">
            <v>0</v>
          </cell>
          <cell r="AR102">
            <v>2200</v>
          </cell>
        </row>
        <row r="104">
          <cell r="G104">
            <v>-2500</v>
          </cell>
          <cell r="AO104">
            <v>0</v>
          </cell>
        </row>
        <row r="109">
          <cell r="E109">
            <v>12500</v>
          </cell>
          <cell r="H109">
            <v>5000</v>
          </cell>
        </row>
        <row r="110">
          <cell r="D110">
            <v>150.00111111111113</v>
          </cell>
          <cell r="E110">
            <v>0</v>
          </cell>
          <cell r="F110">
            <v>0</v>
          </cell>
          <cell r="H110">
            <v>15000</v>
          </cell>
          <cell r="AP110">
            <v>0</v>
          </cell>
          <cell r="AR110">
            <v>0</v>
          </cell>
        </row>
        <row r="111">
          <cell r="H111">
            <v>500</v>
          </cell>
        </row>
        <row r="113">
          <cell r="E113">
            <v>33053.7</v>
          </cell>
        </row>
        <row r="114">
          <cell r="F114">
            <v>750</v>
          </cell>
        </row>
        <row r="115">
          <cell r="F115">
            <v>800.0000000000001</v>
          </cell>
        </row>
        <row r="116">
          <cell r="F116">
            <v>942</v>
          </cell>
        </row>
        <row r="117">
          <cell r="E117">
            <v>-419.33</v>
          </cell>
          <cell r="F117">
            <v>100</v>
          </cell>
        </row>
        <row r="118">
          <cell r="F118">
            <v>0</v>
          </cell>
        </row>
        <row r="119">
          <cell r="F119">
            <v>0</v>
          </cell>
          <cell r="G119">
            <v>0</v>
          </cell>
          <cell r="H119">
            <v>75000</v>
          </cell>
          <cell r="AO119">
            <v>0</v>
          </cell>
        </row>
        <row r="120">
          <cell r="E120">
            <v>531.67</v>
          </cell>
          <cell r="F120">
            <v>1380</v>
          </cell>
          <cell r="G120">
            <v>19000</v>
          </cell>
          <cell r="H120">
            <v>1500</v>
          </cell>
          <cell r="AR120">
            <v>0</v>
          </cell>
        </row>
        <row r="121">
          <cell r="H121">
            <v>2100</v>
          </cell>
        </row>
        <row r="122">
          <cell r="F122">
            <v>5500</v>
          </cell>
          <cell r="G122">
            <v>66000</v>
          </cell>
        </row>
        <row r="123">
          <cell r="H123">
            <v>1500</v>
          </cell>
        </row>
        <row r="124">
          <cell r="G124">
            <v>2200</v>
          </cell>
        </row>
        <row r="125">
          <cell r="D125">
            <v>25000</v>
          </cell>
          <cell r="E125">
            <v>36000</v>
          </cell>
          <cell r="F125">
            <v>42840</v>
          </cell>
          <cell r="G125">
            <v>46999.99999999999</v>
          </cell>
          <cell r="H125">
            <v>464229</v>
          </cell>
          <cell r="AP125">
            <v>2275</v>
          </cell>
        </row>
        <row r="126">
          <cell r="G126">
            <v>2500</v>
          </cell>
        </row>
        <row r="127">
          <cell r="D127">
            <v>20000</v>
          </cell>
          <cell r="E127">
            <v>16000</v>
          </cell>
          <cell r="F127">
            <v>25000</v>
          </cell>
          <cell r="H127">
            <v>43603</v>
          </cell>
        </row>
        <row r="128">
          <cell r="H128">
            <v>0</v>
          </cell>
          <cell r="AP128">
            <v>4250</v>
          </cell>
        </row>
        <row r="129">
          <cell r="D129">
            <v>0</v>
          </cell>
          <cell r="E129">
            <v>2004.78</v>
          </cell>
          <cell r="F129">
            <v>0</v>
          </cell>
          <cell r="G129">
            <v>0</v>
          </cell>
          <cell r="H129">
            <v>0</v>
          </cell>
        </row>
        <row r="130">
          <cell r="G130">
            <v>141988.72</v>
          </cell>
        </row>
        <row r="131">
          <cell r="D131">
            <v>2217.96052</v>
          </cell>
          <cell r="E131">
            <v>2590.18577</v>
          </cell>
          <cell r="F131">
            <v>2928.659088</v>
          </cell>
          <cell r="G131">
            <v>1982.9025219231205</v>
          </cell>
          <cell r="H131">
            <v>20535.07856506684</v>
          </cell>
          <cell r="AP131">
            <v>322.9875</v>
          </cell>
          <cell r="AR131">
            <v>102.5</v>
          </cell>
        </row>
        <row r="132">
          <cell r="D132">
            <v>300.2079832</v>
          </cell>
          <cell r="E132">
            <v>358.81109419999996</v>
          </cell>
          <cell r="F132">
            <v>459.2782183111111</v>
          </cell>
          <cell r="G132">
            <v>318.078443125176</v>
          </cell>
          <cell r="H132">
            <v>3443.435053391819</v>
          </cell>
          <cell r="AP132">
            <v>43.52175</v>
          </cell>
          <cell r="AR132">
            <v>14.894</v>
          </cell>
        </row>
        <row r="133">
          <cell r="D133">
            <v>906.6643519999978</v>
          </cell>
          <cell r="E133">
            <v>1430.9904199999999</v>
          </cell>
          <cell r="F133">
            <v>1831.67672</v>
          </cell>
          <cell r="G133">
            <v>1269.0632670836962</v>
          </cell>
          <cell r="H133">
            <v>13733.148756726729</v>
          </cell>
          <cell r="AP133">
            <v>176.175</v>
          </cell>
          <cell r="AR133">
            <v>59.4</v>
          </cell>
        </row>
        <row r="134">
          <cell r="D134">
            <v>442.9013608</v>
          </cell>
          <cell r="E134">
            <v>1030.8549916000002</v>
          </cell>
          <cell r="F134">
            <v>1292.3817767111113</v>
          </cell>
          <cell r="G134">
            <v>908.2571657958224</v>
          </cell>
          <cell r="H134">
            <v>7995.014345355258</v>
          </cell>
          <cell r="AP134">
            <v>126.97650000000002</v>
          </cell>
          <cell r="AR134">
            <v>43.208000000000006</v>
          </cell>
        </row>
        <row r="135">
          <cell r="D135">
            <v>448.77</v>
          </cell>
          <cell r="E135">
            <v>877.21</v>
          </cell>
          <cell r="F135">
            <v>1266.2400000000002</v>
          </cell>
          <cell r="G135">
            <v>1203.48</v>
          </cell>
          <cell r="H135">
            <v>9055.32</v>
          </cell>
        </row>
        <row r="136">
          <cell r="D136">
            <v>183.49</v>
          </cell>
          <cell r="E136">
            <v>156.43</v>
          </cell>
          <cell r="F136">
            <v>0</v>
          </cell>
          <cell r="G136">
            <v>0</v>
          </cell>
          <cell r="H136">
            <v>0</v>
          </cell>
        </row>
        <row r="137">
          <cell r="G137">
            <v>41850.236000000004</v>
          </cell>
        </row>
        <row r="138">
          <cell r="D138">
            <v>10</v>
          </cell>
          <cell r="F138">
            <v>0</v>
          </cell>
          <cell r="H138">
            <v>150</v>
          </cell>
          <cell r="AO138">
            <v>0</v>
          </cell>
        </row>
        <row r="139">
          <cell r="G139">
            <v>107499.65</v>
          </cell>
        </row>
        <row r="140">
          <cell r="H140">
            <v>2000</v>
          </cell>
        </row>
        <row r="142">
          <cell r="E142">
            <v>1656.74</v>
          </cell>
          <cell r="F142">
            <v>1500</v>
          </cell>
          <cell r="H142">
            <v>14999.999999999998</v>
          </cell>
        </row>
        <row r="146">
          <cell r="C146">
            <v>14489.981781376517</v>
          </cell>
          <cell r="J146">
            <v>29933.33</v>
          </cell>
          <cell r="K146">
            <v>29933.329999999998</v>
          </cell>
          <cell r="L146">
            <v>29933.330000000005</v>
          </cell>
          <cell r="N146">
            <v>29933.330000000005</v>
          </cell>
          <cell r="O146">
            <v>29933.33</v>
          </cell>
          <cell r="P146">
            <v>4000</v>
          </cell>
          <cell r="Q146">
            <v>33849.99999999999</v>
          </cell>
          <cell r="R146">
            <v>770.0015</v>
          </cell>
          <cell r="S146">
            <v>500</v>
          </cell>
          <cell r="T146">
            <v>7881.9974999999995</v>
          </cell>
          <cell r="U146">
            <v>21000</v>
          </cell>
          <cell r="V146">
            <v>14750.003333333332</v>
          </cell>
          <cell r="W146">
            <v>7280</v>
          </cell>
          <cell r="X146">
            <v>2000</v>
          </cell>
          <cell r="Y146">
            <v>29933.33</v>
          </cell>
          <cell r="AC146">
            <v>0</v>
          </cell>
          <cell r="AD146">
            <v>10000</v>
          </cell>
          <cell r="AF146">
            <v>2139.996336</v>
          </cell>
          <cell r="AH146">
            <v>2200</v>
          </cell>
          <cell r="AJ146">
            <v>4610</v>
          </cell>
          <cell r="AK146">
            <v>12850.0034</v>
          </cell>
          <cell r="AM146">
            <v>3250</v>
          </cell>
          <cell r="AN146">
            <v>0</v>
          </cell>
          <cell r="AT146">
            <v>79150</v>
          </cell>
          <cell r="AU146">
            <v>29589.258499999996</v>
          </cell>
          <cell r="AV146">
            <v>46238.313029107696</v>
          </cell>
          <cell r="AW146">
            <v>0</v>
          </cell>
          <cell r="AY146">
            <v>9795</v>
          </cell>
          <cell r="AZ146">
            <v>29962.236962406016</v>
          </cell>
          <cell r="BA146">
            <v>38269.64730000001</v>
          </cell>
          <cell r="BB146">
            <v>18580.765714285713</v>
          </cell>
          <cell r="BC146">
            <v>30100</v>
          </cell>
          <cell r="BD146">
            <v>500</v>
          </cell>
          <cell r="BE146">
            <v>12844.382999999996</v>
          </cell>
          <cell r="BF146">
            <v>29675</v>
          </cell>
          <cell r="BG146">
            <v>6791.4366666666665</v>
          </cell>
          <cell r="BI146">
            <v>800</v>
          </cell>
          <cell r="BL146">
            <v>69878.25</v>
          </cell>
          <cell r="BM146">
            <v>44511.198626666664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3"/>
  <sheetViews>
    <sheetView tabSelected="1" workbookViewId="0" topLeftCell="A187">
      <selection activeCell="F40" sqref="F40"/>
    </sheetView>
  </sheetViews>
  <sheetFormatPr defaultColWidth="9.140625" defaultRowHeight="12.75"/>
  <cols>
    <col min="1" max="1" width="16.28125" style="0" customWidth="1"/>
    <col min="2" max="2" width="32.140625" style="0" customWidth="1"/>
    <col min="3" max="3" width="18.57421875" style="22" hidden="1" customWidth="1"/>
    <col min="4" max="4" width="18.7109375" style="3" customWidth="1"/>
    <col min="5" max="5" width="19.7109375" style="0" customWidth="1"/>
    <col min="6" max="6" width="17.00390625" style="0" customWidth="1"/>
  </cols>
  <sheetData>
    <row r="1" spans="1:3" ht="12.75">
      <c r="A1" s="1" t="s">
        <v>199</v>
      </c>
      <c r="C1" s="2" t="s">
        <v>0</v>
      </c>
    </row>
    <row r="2" spans="3:5" ht="15">
      <c r="C2" s="4" t="s">
        <v>1</v>
      </c>
      <c r="D2" s="5" t="s">
        <v>2</v>
      </c>
      <c r="E2" s="6" t="s">
        <v>1</v>
      </c>
    </row>
    <row r="3" spans="3:6" ht="15">
      <c r="C3" s="7" t="s">
        <v>3</v>
      </c>
      <c r="D3" s="8" t="s">
        <v>4</v>
      </c>
      <c r="E3" s="7" t="s">
        <v>3</v>
      </c>
      <c r="F3" s="8" t="s">
        <v>5</v>
      </c>
    </row>
    <row r="4" spans="2:6" ht="15">
      <c r="B4" s="9" t="s">
        <v>7</v>
      </c>
      <c r="C4" s="7" t="s">
        <v>8</v>
      </c>
      <c r="D4" s="8" t="s">
        <v>8</v>
      </c>
      <c r="E4" s="7" t="s">
        <v>8</v>
      </c>
      <c r="F4" s="8" t="s">
        <v>9</v>
      </c>
    </row>
    <row r="5" spans="1:6" s="14" customFormat="1" ht="15">
      <c r="A5" s="10"/>
      <c r="B5" s="11" t="s">
        <v>10</v>
      </c>
      <c r="C5" s="12">
        <f>+C53</f>
        <v>1530047.1</v>
      </c>
      <c r="D5" s="12">
        <f>+BaseFee</f>
        <v>1556255.8615384616</v>
      </c>
      <c r="E5" s="13">
        <f>1530047.12-0.03+0.01</f>
        <v>1530047.1</v>
      </c>
      <c r="F5" s="13">
        <v>1498068.36</v>
      </c>
    </row>
    <row r="6" spans="2:6" s="14" customFormat="1" ht="15">
      <c r="B6" s="11" t="s">
        <v>11</v>
      </c>
      <c r="C6" s="12">
        <f>+C64</f>
        <v>62636.93000000001</v>
      </c>
      <c r="D6" s="12">
        <f>+ReferralFee</f>
        <v>57509.878461538465</v>
      </c>
      <c r="E6" s="13">
        <v>62636.93</v>
      </c>
      <c r="F6" s="13">
        <v>61244.13</v>
      </c>
    </row>
    <row r="7" spans="2:6" s="14" customFormat="1" ht="15">
      <c r="B7" s="11" t="s">
        <v>12</v>
      </c>
      <c r="C7" s="12">
        <f>+C69</f>
        <v>17842.67</v>
      </c>
      <c r="D7" s="12">
        <f>+TribuneFee</f>
        <v>17773.28</v>
      </c>
      <c r="E7" s="13">
        <v>17842.66</v>
      </c>
      <c r="F7" s="13">
        <v>17473</v>
      </c>
    </row>
    <row r="8" spans="2:6" s="14" customFormat="1" ht="15">
      <c r="B8" s="11" t="s">
        <v>13</v>
      </c>
      <c r="C8" s="12">
        <f>+C70</f>
        <v>44334.02</v>
      </c>
      <c r="D8" s="12">
        <f>+MidnightKitchenFee</f>
        <v>44038.31</v>
      </c>
      <c r="E8" s="13">
        <v>44334.02</v>
      </c>
      <c r="F8" s="13">
        <v>43415.21</v>
      </c>
    </row>
    <row r="9" spans="2:6" s="14" customFormat="1" ht="15">
      <c r="B9" s="11" t="s">
        <v>14</v>
      </c>
      <c r="C9" s="12">
        <f>+C71</f>
        <v>44796</v>
      </c>
      <c r="D9" s="12">
        <f>+EnvironmentalFee</f>
        <v>44511.19</v>
      </c>
      <c r="E9" s="13">
        <v>44796</v>
      </c>
      <c r="F9" s="13">
        <v>43868.14</v>
      </c>
    </row>
    <row r="10" spans="2:6" s="14" customFormat="1" ht="15">
      <c r="B10" s="11" t="s">
        <v>15</v>
      </c>
      <c r="C10" s="12">
        <f>+C72</f>
        <v>70461.81</v>
      </c>
      <c r="D10" s="12">
        <f>+CampusLifeFund</f>
        <v>69878.25</v>
      </c>
      <c r="E10" s="13">
        <v>70461.81</v>
      </c>
      <c r="F10" s="13">
        <v>68986.17</v>
      </c>
    </row>
    <row r="11" spans="2:6" s="14" customFormat="1" ht="15">
      <c r="B11" s="11" t="s">
        <v>16</v>
      </c>
      <c r="C11" s="15">
        <v>0</v>
      </c>
      <c r="D11" s="15">
        <v>0</v>
      </c>
      <c r="E11" s="16"/>
      <c r="F11" s="16"/>
    </row>
    <row r="12" spans="2:6" s="14" customFormat="1" ht="15">
      <c r="B12" s="17" t="s">
        <v>17</v>
      </c>
      <c r="C12" s="12">
        <f>SUM(C5:C11)</f>
        <v>1770118.53</v>
      </c>
      <c r="D12" s="12">
        <f>SUM(D5:D11)</f>
        <v>1789966.7700000003</v>
      </c>
      <c r="E12" s="12">
        <f>SUM(E5:E11)</f>
        <v>1770118.52</v>
      </c>
      <c r="F12" s="12">
        <f>SUM(F5:F11)</f>
        <v>1733055.0099999998</v>
      </c>
    </row>
    <row r="13" spans="2:6" ht="15">
      <c r="B13" s="17"/>
      <c r="C13" s="18"/>
      <c r="D13" s="18"/>
      <c r="E13" s="19"/>
      <c r="F13" s="19"/>
    </row>
    <row r="14" spans="1:6" ht="15">
      <c r="A14" s="11"/>
      <c r="B14" s="11" t="s">
        <v>18</v>
      </c>
      <c r="C14" s="12">
        <f>C83</f>
        <v>113500</v>
      </c>
      <c r="D14" s="12">
        <f>TotalRev</f>
        <v>93740</v>
      </c>
      <c r="E14" s="13">
        <v>113500</v>
      </c>
      <c r="F14" s="13">
        <v>122604.46</v>
      </c>
    </row>
    <row r="15" spans="1:6" ht="15">
      <c r="A15" s="11"/>
      <c r="B15" s="11" t="s">
        <v>19</v>
      </c>
      <c r="C15" s="12">
        <f>+C103</f>
        <v>25000</v>
      </c>
      <c r="D15" s="12">
        <f>+TotalRevSecurity</f>
        <v>20000</v>
      </c>
      <c r="E15" s="13">
        <v>25000</v>
      </c>
      <c r="F15" s="13">
        <v>20077.05</v>
      </c>
    </row>
    <row r="16" spans="1:6" ht="15">
      <c r="A16" s="11"/>
      <c r="B16" s="11" t="s">
        <v>195</v>
      </c>
      <c r="C16" s="12"/>
      <c r="D16" s="12">
        <f>+D194</f>
        <v>487470</v>
      </c>
      <c r="E16" s="12">
        <f>+E194</f>
        <v>423704</v>
      </c>
      <c r="F16" s="12">
        <f>+F194</f>
        <v>428859.79000000004</v>
      </c>
    </row>
    <row r="17" spans="2:6" ht="15">
      <c r="B17" s="11" t="s">
        <v>20</v>
      </c>
      <c r="C17" s="12">
        <v>50000</v>
      </c>
      <c r="D17" s="12">
        <f>+GlobalTotalRevFoodBev</f>
        <v>17089.98</v>
      </c>
      <c r="E17" s="13">
        <v>50000</v>
      </c>
      <c r="F17" s="13">
        <v>79708.25</v>
      </c>
    </row>
    <row r="18" spans="2:6" ht="15">
      <c r="B18" s="11" t="s">
        <v>21</v>
      </c>
      <c r="C18" s="12">
        <f>C122</f>
        <v>275000</v>
      </c>
      <c r="D18" s="12">
        <f>TotalRevUniCentre</f>
        <v>279157.45</v>
      </c>
      <c r="E18" s="13">
        <v>275000</v>
      </c>
      <c r="F18" s="13">
        <v>296385.28</v>
      </c>
    </row>
    <row r="19" spans="2:6" ht="15">
      <c r="B19" s="11" t="s">
        <v>22</v>
      </c>
      <c r="C19" s="12">
        <f>+C223</f>
        <v>41850</v>
      </c>
      <c r="D19" s="12">
        <f>TotalRevGovernance</f>
        <v>6850</v>
      </c>
      <c r="E19" s="13">
        <f>+E223</f>
        <v>6850</v>
      </c>
      <c r="F19" s="13">
        <f>+F223</f>
        <v>3065</v>
      </c>
    </row>
    <row r="20" spans="2:6" ht="15">
      <c r="B20" s="11" t="s">
        <v>23</v>
      </c>
      <c r="C20" s="12">
        <f>C255</f>
        <v>159090</v>
      </c>
      <c r="D20" s="12">
        <f>TotalRevProgrammingAct</f>
        <v>141746.86</v>
      </c>
      <c r="E20" s="13">
        <f>+E255</f>
        <v>159090</v>
      </c>
      <c r="F20" s="13">
        <f>+F255</f>
        <v>186362.53</v>
      </c>
    </row>
    <row r="21" spans="2:6" ht="15">
      <c r="B21" s="11" t="s">
        <v>196</v>
      </c>
      <c r="C21" s="12">
        <f>C338</f>
        <v>225195</v>
      </c>
      <c r="D21" s="12">
        <f>TotalRevMediaAct</f>
        <v>211380</v>
      </c>
      <c r="E21" s="13">
        <f>+E338</f>
        <v>225195</v>
      </c>
      <c r="F21" s="13">
        <f>+F338</f>
        <v>281601.94</v>
      </c>
    </row>
    <row r="22" spans="2:6" ht="15">
      <c r="B22" s="11" t="s">
        <v>24</v>
      </c>
      <c r="C22" s="12">
        <f>C371</f>
        <v>182383</v>
      </c>
      <c r="D22" s="12">
        <f>TotalRevServices</f>
        <v>190767.38</v>
      </c>
      <c r="E22" s="13">
        <v>182383</v>
      </c>
      <c r="F22" s="13">
        <v>177498.68</v>
      </c>
    </row>
    <row r="23" spans="2:6" ht="15">
      <c r="B23" s="11" t="s">
        <v>25</v>
      </c>
      <c r="C23" s="12">
        <f>7187.4+7420.79+1220.67</f>
        <v>15828.859999999999</v>
      </c>
      <c r="D23" s="12">
        <f>6700.2+7551.38+1251.9</f>
        <v>15503.48</v>
      </c>
      <c r="E23" s="13">
        <v>15828.86</v>
      </c>
      <c r="F23" s="13">
        <v>36360.38</v>
      </c>
    </row>
    <row r="24" spans="2:6" ht="15">
      <c r="B24" s="11" t="s">
        <v>26</v>
      </c>
      <c r="C24" s="12"/>
      <c r="D24" s="15">
        <f>+'[1]Global'!BK70</f>
        <v>4000</v>
      </c>
      <c r="E24" s="16">
        <v>0</v>
      </c>
      <c r="F24" s="16">
        <v>0</v>
      </c>
    </row>
    <row r="25" spans="2:6" ht="15">
      <c r="B25" s="17" t="s">
        <v>27</v>
      </c>
      <c r="C25" s="12">
        <f>SUM(C14:C24)</f>
        <v>1052846.86</v>
      </c>
      <c r="D25" s="12">
        <f>SUM(D14:D24)</f>
        <v>1467705.15</v>
      </c>
      <c r="E25" s="12">
        <f>SUM(E14:E24)</f>
        <v>1476550.86</v>
      </c>
      <c r="F25" s="12">
        <f>SUM(F14:F24)</f>
        <v>1632523.3599999999</v>
      </c>
    </row>
    <row r="26" spans="4:6" ht="12.75">
      <c r="D26" s="22"/>
      <c r="E26" s="22"/>
      <c r="F26" s="22"/>
    </row>
    <row r="27" spans="2:6" ht="15">
      <c r="B27" s="24" t="s">
        <v>28</v>
      </c>
      <c r="C27" s="12">
        <f>C12+C25</f>
        <v>2822965.39</v>
      </c>
      <c r="D27" s="12">
        <f>D12+D25</f>
        <v>3257671.92</v>
      </c>
      <c r="E27" s="12">
        <f>E12+E25</f>
        <v>3246669.38</v>
      </c>
      <c r="F27" s="12">
        <f>F12+F25</f>
        <v>3365578.3699999996</v>
      </c>
    </row>
    <row r="28" spans="2:6" ht="15">
      <c r="B28" s="9" t="s">
        <v>29</v>
      </c>
      <c r="C28" s="25"/>
      <c r="D28" s="26"/>
      <c r="E28" s="9"/>
      <c r="F28" s="9"/>
    </row>
    <row r="29" spans="2:6" ht="15">
      <c r="B29" s="11" t="s">
        <v>18</v>
      </c>
      <c r="C29" s="27">
        <f>C93+C109</f>
        <v>820206.29</v>
      </c>
      <c r="D29" s="27">
        <f>D93</f>
        <v>739993.9967205406</v>
      </c>
      <c r="E29" s="28">
        <v>760751.29</v>
      </c>
      <c r="F29" s="28">
        <v>755870.85</v>
      </c>
    </row>
    <row r="30" spans="2:6" ht="15">
      <c r="B30" s="11" t="s">
        <v>19</v>
      </c>
      <c r="C30" s="27"/>
      <c r="D30" s="27">
        <f>+D109</f>
        <v>58579.99866044444</v>
      </c>
      <c r="E30" s="27">
        <v>63430</v>
      </c>
      <c r="F30" s="27">
        <v>53090.81</v>
      </c>
    </row>
    <row r="31" spans="2:6" ht="15">
      <c r="B31" s="11" t="s">
        <v>189</v>
      </c>
      <c r="D31" s="113">
        <f>+D214</f>
        <v>230263.44862666668</v>
      </c>
      <c r="E31" s="113">
        <f>+E214</f>
        <v>200373.4</v>
      </c>
      <c r="F31" s="113">
        <f>+F214</f>
        <v>165985.6</v>
      </c>
    </row>
    <row r="32" spans="2:6" ht="15">
      <c r="B32" s="11" t="s">
        <v>195</v>
      </c>
      <c r="C32" s="27"/>
      <c r="D32" s="27">
        <f>+D199</f>
        <v>553791.1807288222</v>
      </c>
      <c r="E32" s="27">
        <f>+E199</f>
        <v>505512.27</v>
      </c>
      <c r="F32" s="27">
        <f>+F199</f>
        <v>514493.39</v>
      </c>
    </row>
    <row r="33" spans="2:6" ht="15">
      <c r="B33" s="11" t="s">
        <v>20</v>
      </c>
      <c r="C33" s="27">
        <v>50000</v>
      </c>
      <c r="D33" s="27">
        <f>+'[1]Global'!C146</f>
        <v>14489.981781376517</v>
      </c>
      <c r="E33" s="28">
        <v>50000</v>
      </c>
      <c r="F33" s="28">
        <v>77786.37</v>
      </c>
    </row>
    <row r="34" spans="2:6" ht="15">
      <c r="B34" s="11" t="s">
        <v>21</v>
      </c>
      <c r="C34" s="27">
        <f>+C133</f>
        <v>504602</v>
      </c>
      <c r="D34" s="27">
        <f>+D133</f>
        <v>498370.3873979278</v>
      </c>
      <c r="E34" s="27">
        <f>+E133</f>
        <v>504602</v>
      </c>
      <c r="F34" s="27">
        <f>+F133</f>
        <v>484630.64999999997</v>
      </c>
    </row>
    <row r="35" spans="2:6" ht="15">
      <c r="B35" s="11" t="s">
        <v>22</v>
      </c>
      <c r="C35" s="27">
        <f>C235</f>
        <v>306632</v>
      </c>
      <c r="D35" s="27">
        <f>D235</f>
        <v>271632.00233333337</v>
      </c>
      <c r="E35" s="27">
        <f>E235</f>
        <v>271632</v>
      </c>
      <c r="F35" s="27">
        <f>F235</f>
        <v>239886.79999999996</v>
      </c>
    </row>
    <row r="36" spans="2:6" ht="15">
      <c r="B36" s="11" t="s">
        <v>23</v>
      </c>
      <c r="C36" s="27">
        <f>C273</f>
        <v>181885</v>
      </c>
      <c r="D36" s="27">
        <f>D273</f>
        <v>180649.859736</v>
      </c>
      <c r="E36" s="28">
        <f>+E273</f>
        <v>181885</v>
      </c>
      <c r="F36" s="28">
        <f>+F273</f>
        <v>203198.13999999998</v>
      </c>
    </row>
    <row r="37" spans="2:6" ht="15">
      <c r="B37" s="11" t="s">
        <v>196</v>
      </c>
      <c r="C37" s="27">
        <f>C346</f>
        <v>228437.66999999998</v>
      </c>
      <c r="D37" s="27">
        <f>D346</f>
        <v>225912.66275000002</v>
      </c>
      <c r="E37" s="28">
        <f>+E346</f>
        <v>228437.66999999998</v>
      </c>
      <c r="F37" s="28">
        <f>+F346</f>
        <v>236929.25000000003</v>
      </c>
    </row>
    <row r="38" spans="2:6" ht="15">
      <c r="B38" s="11" t="s">
        <v>24</v>
      </c>
      <c r="C38" s="27">
        <f>C391</f>
        <v>365216.89</v>
      </c>
      <c r="D38" s="27">
        <f>D391</f>
        <v>369484.92117246607</v>
      </c>
      <c r="E38" s="28">
        <v>365216.88</v>
      </c>
      <c r="F38" s="28">
        <v>319519.33</v>
      </c>
    </row>
    <row r="39" spans="2:6" ht="15">
      <c r="B39" s="11" t="s">
        <v>25</v>
      </c>
      <c r="C39" s="27">
        <f>+C23</f>
        <v>15828.859999999999</v>
      </c>
      <c r="D39" s="27">
        <f>+D23</f>
        <v>15503.48</v>
      </c>
      <c r="E39" s="28">
        <v>15828.86</v>
      </c>
      <c r="F39" s="28">
        <v>34311.22</v>
      </c>
    </row>
    <row r="40" spans="2:6" ht="15">
      <c r="B40" s="32" t="s">
        <v>30</v>
      </c>
      <c r="C40" s="29"/>
      <c r="D40" s="33">
        <v>0</v>
      </c>
      <c r="E40" s="34">
        <v>0</v>
      </c>
      <c r="F40" s="16">
        <v>1993.75</v>
      </c>
    </row>
    <row r="41" spans="2:6" ht="15">
      <c r="B41" s="17" t="s">
        <v>31</v>
      </c>
      <c r="C41" s="12">
        <f>SUM(C29:C40)</f>
        <v>2437808.71</v>
      </c>
      <c r="D41" s="27">
        <f>SUM(D29:D40)</f>
        <v>3158671.919907578</v>
      </c>
      <c r="E41" s="27">
        <f>SUM(E29:E40)+0.01</f>
        <v>3147669.3799999994</v>
      </c>
      <c r="F41" s="27">
        <f>SUM(F29:F40)</f>
        <v>3087696.16</v>
      </c>
    </row>
    <row r="42" spans="2:6" ht="15">
      <c r="B42" s="11"/>
      <c r="C42" s="12"/>
      <c r="D42" s="35"/>
      <c r="E42" s="11"/>
      <c r="F42" s="11"/>
    </row>
    <row r="43" spans="2:6" ht="15">
      <c r="B43" s="11" t="s">
        <v>32</v>
      </c>
      <c r="C43" s="12">
        <v>75000</v>
      </c>
      <c r="D43" s="12">
        <v>75000</v>
      </c>
      <c r="E43" s="12">
        <v>75000</v>
      </c>
      <c r="F43" s="12">
        <v>75000</v>
      </c>
    </row>
    <row r="44" spans="2:6" ht="15">
      <c r="B44" s="11" t="s">
        <v>33</v>
      </c>
      <c r="C44" s="15">
        <f>50000-26000</f>
        <v>24000</v>
      </c>
      <c r="D44" s="15">
        <f>50000-26000</f>
        <v>24000</v>
      </c>
      <c r="E44" s="15">
        <f>50000-26000</f>
        <v>24000</v>
      </c>
      <c r="F44" s="15">
        <f>50000-26000</f>
        <v>24000</v>
      </c>
    </row>
    <row r="45" spans="2:6" ht="15">
      <c r="B45" s="17" t="s">
        <v>34</v>
      </c>
      <c r="C45" s="12">
        <f>SUM(C43:C44)</f>
        <v>99000</v>
      </c>
      <c r="D45" s="12">
        <f>SUM(D43:D44)</f>
        <v>99000</v>
      </c>
      <c r="E45" s="12">
        <f>SUM(E43:E44)</f>
        <v>99000</v>
      </c>
      <c r="F45" s="12">
        <f>SUM(F43:F44)</f>
        <v>99000</v>
      </c>
    </row>
    <row r="46" spans="2:6" ht="15">
      <c r="B46" s="24" t="s">
        <v>35</v>
      </c>
      <c r="C46" s="12">
        <f>C41+C45</f>
        <v>2536808.71</v>
      </c>
      <c r="D46" s="12">
        <f>D41+D45</f>
        <v>3257671.919907578</v>
      </c>
      <c r="E46" s="12">
        <f>E41+E45</f>
        <v>3246669.3799999994</v>
      </c>
      <c r="F46" s="12">
        <f>F41+F45</f>
        <v>3186696.16</v>
      </c>
    </row>
    <row r="47" spans="2:6" ht="15">
      <c r="B47" s="36" t="s">
        <v>36</v>
      </c>
      <c r="C47" s="22">
        <f>ROUND(+C27-C46,2)</f>
        <v>286156.68</v>
      </c>
      <c r="D47" s="37">
        <f>ROUND(+D27-D46,2)</f>
        <v>0</v>
      </c>
      <c r="E47" s="38">
        <f>ROUND(+E27-E46,2)</f>
        <v>0</v>
      </c>
      <c r="F47" s="38">
        <f>ROUND(+F27-F46,2)</f>
        <v>178882.21</v>
      </c>
    </row>
    <row r="48" spans="2:6" ht="15">
      <c r="B48" s="36"/>
      <c r="C48" s="40"/>
      <c r="D48" s="41"/>
      <c r="E48" s="42"/>
      <c r="F48" s="42"/>
    </row>
    <row r="49" ht="12.75">
      <c r="C49" s="43" t="s">
        <v>1</v>
      </c>
    </row>
    <row r="50" spans="3:5" ht="12.75">
      <c r="C50" s="44" t="s">
        <v>3</v>
      </c>
      <c r="D50" s="5" t="s">
        <v>2</v>
      </c>
      <c r="E50" s="6" t="s">
        <v>1</v>
      </c>
    </row>
    <row r="51" spans="2:6" ht="15">
      <c r="B51" s="11" t="s">
        <v>37</v>
      </c>
      <c r="C51" s="7" t="s">
        <v>6</v>
      </c>
      <c r="D51" s="8" t="s">
        <v>4</v>
      </c>
      <c r="E51" s="7" t="s">
        <v>3</v>
      </c>
      <c r="F51" s="8" t="s">
        <v>5</v>
      </c>
    </row>
    <row r="52" spans="2:6" ht="15">
      <c r="B52" s="45"/>
      <c r="C52" s="7" t="s">
        <v>8</v>
      </c>
      <c r="D52" s="8" t="s">
        <v>8</v>
      </c>
      <c r="E52" s="7" t="s">
        <v>8</v>
      </c>
      <c r="F52" s="8" t="s">
        <v>9</v>
      </c>
    </row>
    <row r="53" spans="2:6" ht="15">
      <c r="B53" s="24" t="s">
        <v>38</v>
      </c>
      <c r="C53" s="12">
        <f>SUM(C54:C59)</f>
        <v>1530047.1</v>
      </c>
      <c r="D53" s="46">
        <f>SUM(D54:D59)+0.03</f>
        <v>1556255.8615384616</v>
      </c>
      <c r="E53" s="31">
        <v>1530047.12</v>
      </c>
      <c r="F53" s="31">
        <v>1498068.36</v>
      </c>
    </row>
    <row r="54" spans="2:6" ht="15">
      <c r="B54" s="11" t="s">
        <v>39</v>
      </c>
      <c r="C54" s="46">
        <v>1432818.56</v>
      </c>
      <c r="D54" s="46">
        <f>+'[1]Global'!H44-22643.2</f>
        <v>1455664.6000000003</v>
      </c>
      <c r="E54" s="31">
        <v>1432818.56</v>
      </c>
      <c r="F54" s="31">
        <v>1404299.37</v>
      </c>
    </row>
    <row r="55" spans="2:6" ht="15">
      <c r="B55" s="11" t="s">
        <v>40</v>
      </c>
      <c r="C55" s="48">
        <v>29336.74</v>
      </c>
      <c r="D55" s="46">
        <f>+'[1]Global'!AZ70</f>
        <v>29962.239999999998</v>
      </c>
      <c r="E55" s="31">
        <v>29336.73</v>
      </c>
      <c r="F55" s="31">
        <v>28266.97</v>
      </c>
    </row>
    <row r="56" spans="1:6" ht="15">
      <c r="A56" s="23"/>
      <c r="B56" s="11" t="s">
        <v>41</v>
      </c>
      <c r="C56" s="46">
        <v>9218.38</v>
      </c>
      <c r="D56" s="46">
        <f>+'[1]Global'!BB44-D67-4450</f>
        <v>1734.911538461538</v>
      </c>
      <c r="E56" s="31">
        <v>9218.38</v>
      </c>
      <c r="F56" s="31">
        <v>8968.14</v>
      </c>
    </row>
    <row r="57" spans="1:6" ht="15">
      <c r="A57" s="23"/>
      <c r="B57" s="11" t="s">
        <v>42</v>
      </c>
      <c r="C57" s="46"/>
      <c r="D57" s="46">
        <f>+'[1]Global'!AS44</f>
        <v>3339.3800000000006</v>
      </c>
      <c r="E57" s="31">
        <v>0</v>
      </c>
      <c r="F57" s="31">
        <v>0</v>
      </c>
    </row>
    <row r="58" spans="2:6" ht="15">
      <c r="B58" s="11" t="s">
        <v>43</v>
      </c>
      <c r="C58" s="46">
        <v>39115.6</v>
      </c>
      <c r="D58" s="46">
        <f>+'[1]Global'!G44</f>
        <v>40874</v>
      </c>
      <c r="E58" s="31">
        <v>39115.6</v>
      </c>
      <c r="F58" s="31">
        <v>37689.3</v>
      </c>
    </row>
    <row r="59" spans="2:6" ht="15">
      <c r="B59" s="11" t="s">
        <v>44</v>
      </c>
      <c r="C59" s="12">
        <f>SUM(C60:C62)</f>
        <v>19557.82</v>
      </c>
      <c r="D59" s="46">
        <f>SUM(D60:D62)</f>
        <v>24680.700000000004</v>
      </c>
      <c r="E59" s="31">
        <v>19557.82</v>
      </c>
      <c r="F59" s="31">
        <v>18844.65</v>
      </c>
    </row>
    <row r="60" spans="2:6" ht="15">
      <c r="B60" s="11" t="s">
        <v>45</v>
      </c>
      <c r="C60" s="46">
        <v>8996.59</v>
      </c>
      <c r="D60" s="46">
        <f>+'[1]Global'!AU44</f>
        <v>13894.260000000002</v>
      </c>
      <c r="E60" s="31">
        <v>8996.59</v>
      </c>
      <c r="F60" s="31">
        <v>8668.54</v>
      </c>
    </row>
    <row r="61" spans="2:6" ht="15">
      <c r="B61" s="11" t="s">
        <v>46</v>
      </c>
      <c r="C61" s="46">
        <v>6649.65</v>
      </c>
      <c r="D61" s="46">
        <f>+'[1]Global'!BG44</f>
        <v>6791.4400000000005</v>
      </c>
      <c r="E61" s="31">
        <v>6649.65</v>
      </c>
      <c r="F61" s="31">
        <v>6407.18</v>
      </c>
    </row>
    <row r="62" spans="2:6" ht="15">
      <c r="B62" s="11" t="s">
        <v>47</v>
      </c>
      <c r="C62" s="46">
        <v>3911.58</v>
      </c>
      <c r="D62" s="46">
        <f>+'[1]Global'!AY44</f>
        <v>3995</v>
      </c>
      <c r="E62" s="31">
        <v>3911.58</v>
      </c>
      <c r="F62" s="31">
        <v>3768.93</v>
      </c>
    </row>
    <row r="64" spans="2:6" ht="15">
      <c r="B64" s="24" t="s">
        <v>48</v>
      </c>
      <c r="C64" s="12">
        <f>SUM(C65:C67)</f>
        <v>62636.93000000001</v>
      </c>
      <c r="D64" s="46">
        <f>SUM(D65:D67)</f>
        <v>57509.878461538465</v>
      </c>
      <c r="E64" s="31">
        <v>62636.93</v>
      </c>
      <c r="F64" s="31">
        <v>61244.13</v>
      </c>
    </row>
    <row r="65" spans="2:6" ht="15">
      <c r="B65" s="11" t="s">
        <v>49</v>
      </c>
      <c r="C65" s="46">
        <v>35472.25</v>
      </c>
      <c r="D65" s="46">
        <f>+'[1]Global'!BA44</f>
        <v>35269.65</v>
      </c>
      <c r="E65" s="31">
        <v>35472.25</v>
      </c>
      <c r="F65" s="31">
        <v>34737.12</v>
      </c>
    </row>
    <row r="66" spans="2:6" ht="15">
      <c r="B66" s="11" t="s">
        <v>50</v>
      </c>
      <c r="C66" s="46">
        <v>12415.27</v>
      </c>
      <c r="D66" s="46">
        <f>+'[1]Global'!BE44-0.01</f>
        <v>12344.37</v>
      </c>
      <c r="E66" s="31">
        <v>12415.27</v>
      </c>
      <c r="F66" s="31">
        <v>12157.98</v>
      </c>
    </row>
    <row r="67" spans="2:6" ht="15">
      <c r="B67" s="24" t="s">
        <v>51</v>
      </c>
      <c r="C67" s="46">
        <v>14749.41</v>
      </c>
      <c r="D67" s="46">
        <f>+'[1]Global'!BB44*0.4/0.65</f>
        <v>9895.858461538463</v>
      </c>
      <c r="E67" s="31">
        <v>14749.41</v>
      </c>
      <c r="F67" s="31">
        <v>14349.03</v>
      </c>
    </row>
    <row r="68" spans="2:6" ht="15">
      <c r="B68" s="24"/>
      <c r="C68" s="49"/>
      <c r="D68" s="50"/>
      <c r="E68" s="24"/>
      <c r="F68" s="24"/>
    </row>
    <row r="69" spans="2:6" ht="15">
      <c r="B69" s="24" t="s">
        <v>52</v>
      </c>
      <c r="C69" s="46">
        <v>17842.67</v>
      </c>
      <c r="D69" s="46">
        <f>+'[1]Global'!AO44</f>
        <v>17773.28</v>
      </c>
      <c r="E69" s="31">
        <v>17842.66</v>
      </c>
      <c r="F69" s="31">
        <v>17473</v>
      </c>
    </row>
    <row r="70" spans="2:6" ht="15">
      <c r="B70" s="24" t="s">
        <v>53</v>
      </c>
      <c r="C70" s="46">
        <v>44334.02</v>
      </c>
      <c r="D70" s="46">
        <f>+'[1]Global'!AV44</f>
        <v>44038.31</v>
      </c>
      <c r="E70" s="31">
        <v>44334.02</v>
      </c>
      <c r="F70" s="31">
        <v>43415.21</v>
      </c>
    </row>
    <row r="71" spans="2:6" ht="15">
      <c r="B71" s="24" t="s">
        <v>54</v>
      </c>
      <c r="C71" s="46">
        <v>44796</v>
      </c>
      <c r="D71" s="46">
        <f>+'[1]Global'!BM44</f>
        <v>44511.19</v>
      </c>
      <c r="E71" s="31">
        <v>44796</v>
      </c>
      <c r="F71" s="31">
        <v>43868.14</v>
      </c>
    </row>
    <row r="72" spans="2:6" ht="15">
      <c r="B72" s="24" t="s">
        <v>55</v>
      </c>
      <c r="C72" s="46">
        <v>70461.81</v>
      </c>
      <c r="D72" s="46">
        <f>+'[1]Global'!BL44</f>
        <v>69878.25</v>
      </c>
      <c r="E72" s="31">
        <v>70461.81</v>
      </c>
      <c r="F72" s="31">
        <v>68986.17</v>
      </c>
    </row>
    <row r="73" spans="3:6" ht="12.75">
      <c r="C73" s="43"/>
      <c r="D73" s="112"/>
      <c r="E73" s="112"/>
      <c r="F73" s="112"/>
    </row>
    <row r="74" spans="3:5" ht="12.75">
      <c r="C74" s="43"/>
      <c r="D74" s="5" t="s">
        <v>2</v>
      </c>
      <c r="E74" s="6" t="s">
        <v>1</v>
      </c>
    </row>
    <row r="75" spans="3:6" ht="15">
      <c r="C75" s="43"/>
      <c r="D75" s="8" t="s">
        <v>4</v>
      </c>
      <c r="E75" s="7" t="s">
        <v>3</v>
      </c>
      <c r="F75" s="8" t="s">
        <v>5</v>
      </c>
    </row>
    <row r="76" spans="3:6" ht="15">
      <c r="C76" s="44" t="s">
        <v>3</v>
      </c>
      <c r="D76" s="8" t="s">
        <v>8</v>
      </c>
      <c r="E76" s="7" t="s">
        <v>8</v>
      </c>
      <c r="F76" s="8" t="s">
        <v>9</v>
      </c>
    </row>
    <row r="77" ht="15">
      <c r="C77" s="7" t="s">
        <v>6</v>
      </c>
    </row>
    <row r="78" spans="2:3" ht="15" customHeight="1">
      <c r="B78" s="11" t="s">
        <v>56</v>
      </c>
      <c r="C78" s="7" t="s">
        <v>8</v>
      </c>
    </row>
    <row r="79" spans="2:6" ht="14.25" customHeight="1">
      <c r="B79" s="51" t="s">
        <v>57</v>
      </c>
      <c r="C79" s="52"/>
      <c r="D79" s="53"/>
      <c r="E79" s="51"/>
      <c r="F79" s="51"/>
    </row>
    <row r="80" spans="2:6" ht="15" customHeight="1">
      <c r="B80" s="54" t="s">
        <v>58</v>
      </c>
      <c r="C80" s="55">
        <v>28000</v>
      </c>
      <c r="D80" s="55">
        <f>+'[1]Global'!H46</f>
        <v>12000</v>
      </c>
      <c r="E80" s="47">
        <v>28000</v>
      </c>
      <c r="F80" s="47">
        <v>21590.46</v>
      </c>
    </row>
    <row r="81" spans="2:6" ht="14.25" customHeight="1">
      <c r="B81" s="54" t="s">
        <v>59</v>
      </c>
      <c r="C81" s="55">
        <v>80000</v>
      </c>
      <c r="D81" s="55">
        <f>+'[1]Global'!H69</f>
        <v>75740</v>
      </c>
      <c r="E81" s="47">
        <v>80000</v>
      </c>
      <c r="F81" s="47">
        <v>90077.72</v>
      </c>
    </row>
    <row r="82" spans="2:6" ht="15" customHeight="1">
      <c r="B82" s="54" t="s">
        <v>60</v>
      </c>
      <c r="C82" s="56">
        <v>5500</v>
      </c>
      <c r="D82" s="56">
        <f>+'[1]Global'!H45+'[1]Global'!H67+'[1]Global'!H68</f>
        <v>6000</v>
      </c>
      <c r="E82" s="57">
        <v>5500</v>
      </c>
      <c r="F82" s="57">
        <v>10936.28</v>
      </c>
    </row>
    <row r="83" spans="2:6" ht="15">
      <c r="B83" s="58" t="s">
        <v>61</v>
      </c>
      <c r="C83" s="55">
        <f>SUM(C80:C82)</f>
        <v>113500</v>
      </c>
      <c r="D83" s="55">
        <f>SUM(D80:D82)</f>
        <v>93740</v>
      </c>
      <c r="E83" s="55">
        <f>SUM(E80:E82)</f>
        <v>113500</v>
      </c>
      <c r="F83" s="55">
        <f>SUM(F80:F82)</f>
        <v>122604.45999999999</v>
      </c>
    </row>
    <row r="84" spans="2:6" ht="15">
      <c r="B84" s="51" t="s">
        <v>62</v>
      </c>
      <c r="C84" s="52"/>
      <c r="D84" s="53"/>
      <c r="E84" s="51"/>
      <c r="F84" s="51"/>
    </row>
    <row r="85" spans="2:6" ht="15">
      <c r="B85" s="54" t="s">
        <v>63</v>
      </c>
      <c r="C85" s="55">
        <f>+'[1]Global'!H85</f>
        <v>8000</v>
      </c>
      <c r="D85" s="55">
        <f>+'[1]Global'!H85</f>
        <v>8000</v>
      </c>
      <c r="E85" s="47">
        <v>10000</v>
      </c>
      <c r="F85" s="47">
        <v>7542.28</v>
      </c>
    </row>
    <row r="86" spans="2:6" ht="16.5" customHeight="1">
      <c r="B86" s="54" t="s">
        <v>64</v>
      </c>
      <c r="C86" s="55">
        <v>19927</v>
      </c>
      <c r="D86" s="55">
        <f>+'[1]Global'!H73+'[1]Global'!H76+'[1]Global'!H77+'[1]Global'!H79+'[1]Global'!H80+'[1]Global'!H86</f>
        <v>22500</v>
      </c>
      <c r="E86" s="47">
        <v>19927</v>
      </c>
      <c r="F86" s="47">
        <v>19026.11</v>
      </c>
    </row>
    <row r="87" spans="2:6" ht="15">
      <c r="B87" s="54" t="s">
        <v>65</v>
      </c>
      <c r="C87" s="55">
        <v>14999.29</v>
      </c>
      <c r="D87" s="55">
        <f>+'[1]Global'!H142</f>
        <v>14999.999999999998</v>
      </c>
      <c r="E87" s="47">
        <v>14999.29</v>
      </c>
      <c r="F87" s="47">
        <v>14920.97</v>
      </c>
    </row>
    <row r="88" spans="2:6" ht="15">
      <c r="B88" s="54" t="s">
        <v>66</v>
      </c>
      <c r="C88" s="55">
        <f>+'[1]Global'!H100+'[1]Global'!H138</f>
        <v>15150</v>
      </c>
      <c r="D88" s="55">
        <f>+'[1]Global'!H100+'[1]Global'!H138</f>
        <v>15150</v>
      </c>
      <c r="E88" s="47">
        <v>17125</v>
      </c>
      <c r="F88" s="47">
        <v>14688.19</v>
      </c>
    </row>
    <row r="89" spans="2:6" ht="15.75" customHeight="1">
      <c r="B89" s="54" t="s">
        <v>67</v>
      </c>
      <c r="C89" s="55">
        <v>75000</v>
      </c>
      <c r="D89" s="55">
        <f>+'[1]Global'!H119</f>
        <v>75000</v>
      </c>
      <c r="E89" s="47">
        <v>75000</v>
      </c>
      <c r="F89" s="47">
        <v>107831.54</v>
      </c>
    </row>
    <row r="90" spans="2:6" ht="15.75" customHeight="1">
      <c r="B90" s="54" t="s">
        <v>68</v>
      </c>
      <c r="C90" s="55">
        <v>589700</v>
      </c>
      <c r="D90" s="55">
        <f>+'[1]Global'!H125+'[1]Global'!H127+'[1]Global'!H129+'[1]Global'!H131+'[1]Global'!H132+'[1]Global'!H133+'[1]Global'!H134+'[1]Global'!H135+'[1]Global'!H136+'[1]Global'!H128</f>
        <v>562593.9967205406</v>
      </c>
      <c r="E90" s="47">
        <v>589700</v>
      </c>
      <c r="F90" s="47">
        <v>569876.67</v>
      </c>
    </row>
    <row r="91" spans="2:6" ht="14.25" customHeight="1">
      <c r="B91" s="54" t="s">
        <v>69</v>
      </c>
      <c r="C91" s="55">
        <v>18500</v>
      </c>
      <c r="D91" s="55">
        <f>+'[1]Global'!H110+'[1]Global'!H123+'[1]Global'!H121+'[1]Global'!H120+'[1]Global'!H109</f>
        <v>25100</v>
      </c>
      <c r="E91" s="47">
        <v>18500</v>
      </c>
      <c r="F91" s="47">
        <v>10761.75</v>
      </c>
    </row>
    <row r="92" spans="2:6" ht="15">
      <c r="B92" s="54" t="s">
        <v>70</v>
      </c>
      <c r="C92" s="56">
        <v>15500</v>
      </c>
      <c r="D92" s="56">
        <f>+'[1]Global'!H89+'[1]Global'!H91+'[1]Global'!H92+'[1]Global'!H93+'[1]Global'!H95+'[1]Global'!H97+'[1]Global'!H101+'[1]Global'!H140+'[1]Global'!H111</f>
        <v>16650</v>
      </c>
      <c r="E92" s="57">
        <v>15500</v>
      </c>
      <c r="F92" s="57">
        <v>11223.34</v>
      </c>
    </row>
    <row r="93" spans="2:6" ht="15">
      <c r="B93" s="58" t="s">
        <v>71</v>
      </c>
      <c r="C93" s="55">
        <f>SUM(C85:C92)</f>
        <v>756776.29</v>
      </c>
      <c r="D93" s="55">
        <f>SUM(D85:D92)</f>
        <v>739993.9967205406</v>
      </c>
      <c r="E93" s="55">
        <f>SUM(E85:E92)</f>
        <v>760751.29</v>
      </c>
      <c r="F93" s="55">
        <f>SUM(F85:F92)</f>
        <v>755870.85</v>
      </c>
    </row>
    <row r="94" spans="2:6" ht="15">
      <c r="B94" s="58"/>
      <c r="C94" s="59"/>
      <c r="D94" s="59"/>
      <c r="E94" s="59"/>
      <c r="F94" s="59"/>
    </row>
    <row r="95" spans="2:6" ht="15">
      <c r="B95" s="51" t="s">
        <v>36</v>
      </c>
      <c r="C95" s="60">
        <f>C83-C93</f>
        <v>-643276.29</v>
      </c>
      <c r="D95" s="60">
        <f>D83-D93</f>
        <v>-646253.9967205406</v>
      </c>
      <c r="E95" s="60">
        <f>E83-E93</f>
        <v>-647251.29</v>
      </c>
      <c r="F95" s="60">
        <f>F83-F93</f>
        <v>-633266.39</v>
      </c>
    </row>
    <row r="96" spans="2:6" ht="15">
      <c r="B96" s="51"/>
      <c r="C96" s="52"/>
      <c r="D96" s="60"/>
      <c r="E96" s="61"/>
      <c r="F96" s="61"/>
    </row>
    <row r="97" spans="2:3" ht="15">
      <c r="B97" s="51"/>
      <c r="C97" s="43" t="s">
        <v>1</v>
      </c>
    </row>
    <row r="98" spans="3:5" ht="12.75">
      <c r="C98" s="44" t="s">
        <v>3</v>
      </c>
      <c r="D98" s="5" t="s">
        <v>2</v>
      </c>
      <c r="E98" s="6" t="s">
        <v>1</v>
      </c>
    </row>
    <row r="99" spans="2:6" ht="15">
      <c r="B99" s="11" t="s">
        <v>72</v>
      </c>
      <c r="C99" s="7" t="s">
        <v>6</v>
      </c>
      <c r="D99" s="8" t="s">
        <v>4</v>
      </c>
      <c r="E99" s="7" t="s">
        <v>3</v>
      </c>
      <c r="F99" s="8" t="s">
        <v>5</v>
      </c>
    </row>
    <row r="100" spans="3:6" ht="15">
      <c r="C100" s="7" t="s">
        <v>8</v>
      </c>
      <c r="D100" s="8" t="s">
        <v>8</v>
      </c>
      <c r="E100" s="7" t="s">
        <v>8</v>
      </c>
      <c r="F100" s="8" t="s">
        <v>9</v>
      </c>
    </row>
    <row r="101" spans="2:6" ht="15">
      <c r="B101" s="24" t="s">
        <v>57</v>
      </c>
      <c r="C101" s="49"/>
      <c r="D101" s="50"/>
      <c r="E101" s="24"/>
      <c r="F101" s="24"/>
    </row>
    <row r="102" spans="2:6" ht="15">
      <c r="B102" s="11" t="s">
        <v>73</v>
      </c>
      <c r="C102" s="62">
        <v>25000</v>
      </c>
      <c r="D102" s="62">
        <f>+'[1]Global'!D70</f>
        <v>20000</v>
      </c>
      <c r="E102" s="63">
        <v>25000</v>
      </c>
      <c r="F102" s="63">
        <v>20077.05</v>
      </c>
    </row>
    <row r="103" spans="2:6" ht="15">
      <c r="B103" s="17" t="s">
        <v>28</v>
      </c>
      <c r="C103" s="12">
        <f>C102</f>
        <v>25000</v>
      </c>
      <c r="D103" s="46">
        <f>D102</f>
        <v>20000</v>
      </c>
      <c r="E103" s="46">
        <f>E102</f>
        <v>25000</v>
      </c>
      <c r="F103" s="31">
        <f>+F102</f>
        <v>20077.05</v>
      </c>
    </row>
    <row r="104" spans="2:6" ht="15">
      <c r="B104" s="24" t="s">
        <v>62</v>
      </c>
      <c r="C104" s="49"/>
      <c r="D104" s="50"/>
      <c r="E104" s="24"/>
      <c r="F104" s="24"/>
    </row>
    <row r="105" spans="2:6" ht="15">
      <c r="B105" s="11" t="s">
        <v>74</v>
      </c>
      <c r="C105" s="46">
        <v>1550</v>
      </c>
      <c r="D105" s="46">
        <f>+'[1]Global'!D73</f>
        <v>1000</v>
      </c>
      <c r="E105" s="31">
        <v>1550</v>
      </c>
      <c r="F105" s="31">
        <v>1940.34</v>
      </c>
    </row>
    <row r="106" spans="2:6" ht="0.75" customHeight="1">
      <c r="B106" s="11" t="s">
        <v>75</v>
      </c>
      <c r="C106" s="64">
        <v>0</v>
      </c>
      <c r="D106" s="64">
        <v>0</v>
      </c>
      <c r="E106" s="65">
        <v>0</v>
      </c>
      <c r="F106" s="65"/>
    </row>
    <row r="107" spans="2:6" ht="15">
      <c r="B107" s="11" t="s">
        <v>76</v>
      </c>
      <c r="C107" s="46">
        <v>51750</v>
      </c>
      <c r="D107" s="46">
        <f>+'[1]Global'!D125+'[1]Global'!D127+'[1]Global'!D131+'[1]Global'!D132+'[1]Global'!D133+'[1]Global'!D134+'[1]Global'!D135+'[1]Global'!D129+'[1]Global'!D136</f>
        <v>49499.994216</v>
      </c>
      <c r="E107" s="31">
        <v>51750</v>
      </c>
      <c r="F107" s="31">
        <v>47082.13</v>
      </c>
    </row>
    <row r="108" spans="2:6" ht="15">
      <c r="B108" s="11" t="s">
        <v>77</v>
      </c>
      <c r="C108" s="62">
        <v>10130</v>
      </c>
      <c r="D108" s="62">
        <f>+'[1]Global'!D76+'[1]Global'!D97+'[1]Global'!D100+'[1]Global'!D89+'[1]Global'!D91+'[1]Global'!D85+'[1]Global'!D83+'[1]Global'!D79+'[1]Global'!D80+'[1]Global'!D110+'[1]Global'!D138</f>
        <v>8080.004444444444</v>
      </c>
      <c r="E108" s="63">
        <v>10130</v>
      </c>
      <c r="F108" s="63">
        <v>4068.34</v>
      </c>
    </row>
    <row r="109" spans="2:6" ht="15">
      <c r="B109" s="17" t="s">
        <v>35</v>
      </c>
      <c r="C109" s="12">
        <f>+SUM(C105:C108)</f>
        <v>63430</v>
      </c>
      <c r="D109" s="46">
        <f>+SUM(D105:D108)</f>
        <v>58579.99866044444</v>
      </c>
      <c r="E109" s="46">
        <f>+SUM(E105:E108)</f>
        <v>63430</v>
      </c>
      <c r="F109" s="46">
        <f>+SUM(F105:F108)</f>
        <v>53090.81</v>
      </c>
    </row>
    <row r="110" spans="2:6" ht="15">
      <c r="B110" s="17"/>
      <c r="C110" s="12"/>
      <c r="D110" s="46"/>
      <c r="E110" s="46"/>
      <c r="F110" s="46"/>
    </row>
    <row r="111" spans="2:6" ht="15">
      <c r="B111" s="24" t="s">
        <v>78</v>
      </c>
      <c r="C111" s="66">
        <f>C103-C109</f>
        <v>-38430</v>
      </c>
      <c r="D111" s="66">
        <f>D103-D109</f>
        <v>-38579.99866044444</v>
      </c>
      <c r="E111" s="66">
        <f>E103-E109</f>
        <v>-38430</v>
      </c>
      <c r="F111" s="66">
        <f>F103-F109</f>
        <v>-33013.759999999995</v>
      </c>
    </row>
    <row r="112" spans="2:6" ht="15">
      <c r="B112" s="24"/>
      <c r="C112" s="49"/>
      <c r="D112" s="66"/>
      <c r="E112" s="67"/>
      <c r="F112" s="67"/>
    </row>
    <row r="113" spans="3:5" ht="12.75">
      <c r="C113" s="44" t="s">
        <v>3</v>
      </c>
      <c r="D113" s="5" t="s">
        <v>2</v>
      </c>
      <c r="E113" s="6" t="s">
        <v>1</v>
      </c>
    </row>
    <row r="114" spans="2:6" ht="15">
      <c r="B114" s="11" t="s">
        <v>103</v>
      </c>
      <c r="C114" s="7" t="s">
        <v>6</v>
      </c>
      <c r="D114" s="8" t="s">
        <v>4</v>
      </c>
      <c r="E114" s="7" t="s">
        <v>3</v>
      </c>
      <c r="F114" s="8" t="s">
        <v>5</v>
      </c>
    </row>
    <row r="115" spans="3:6" ht="15">
      <c r="C115" s="7" t="s">
        <v>8</v>
      </c>
      <c r="D115" s="8" t="s">
        <v>8</v>
      </c>
      <c r="E115" s="7" t="s">
        <v>8</v>
      </c>
      <c r="F115" s="8" t="s">
        <v>9</v>
      </c>
    </row>
    <row r="116" spans="2:6" ht="15">
      <c r="B116" s="51" t="s">
        <v>57</v>
      </c>
      <c r="C116" s="52"/>
      <c r="D116" s="78"/>
      <c r="E116" s="79"/>
      <c r="F116" s="79"/>
    </row>
    <row r="117" spans="2:6" ht="15">
      <c r="B117" s="54" t="s">
        <v>104</v>
      </c>
      <c r="C117" s="55">
        <v>22000</v>
      </c>
      <c r="D117" s="55">
        <f>+'[1]Global'!G47</f>
        <v>15000</v>
      </c>
      <c r="E117" s="47">
        <v>22000</v>
      </c>
      <c r="F117" s="47">
        <v>17175.59</v>
      </c>
    </row>
    <row r="118" spans="2:6" ht="15">
      <c r="B118" s="54" t="s">
        <v>105</v>
      </c>
      <c r="C118" s="55">
        <v>231000</v>
      </c>
      <c r="D118" s="55">
        <f>+'[1]Global'!G50</f>
        <v>238157.45</v>
      </c>
      <c r="E118" s="47">
        <v>231000</v>
      </c>
      <c r="F118" s="47">
        <v>215515</v>
      </c>
    </row>
    <row r="119" spans="2:6" ht="15">
      <c r="B119" s="54" t="s">
        <v>106</v>
      </c>
      <c r="C119" s="55">
        <v>0</v>
      </c>
      <c r="D119" s="55">
        <f>+'[1]Global'!G48</f>
        <v>0</v>
      </c>
      <c r="E119" s="47">
        <v>0</v>
      </c>
      <c r="F119" s="47">
        <v>25746.6</v>
      </c>
    </row>
    <row r="120" spans="2:6" ht="15">
      <c r="B120" s="54" t="s">
        <v>107</v>
      </c>
      <c r="C120" s="55">
        <v>0</v>
      </c>
      <c r="D120" s="55">
        <f>+'[1]Global'!G58</f>
        <v>5000</v>
      </c>
      <c r="E120" s="47">
        <v>0</v>
      </c>
      <c r="F120" s="47">
        <v>4575.01</v>
      </c>
    </row>
    <row r="121" spans="2:6" ht="15">
      <c r="B121" s="54" t="s">
        <v>108</v>
      </c>
      <c r="C121" s="56">
        <v>22000</v>
      </c>
      <c r="D121" s="56">
        <f>+'[1]Global'!G53+'[1]Global'!G54+'[1]Global'!G49+'[1]Global'!G55</f>
        <v>21000</v>
      </c>
      <c r="E121" s="57">
        <v>22000</v>
      </c>
      <c r="F121" s="57">
        <v>33373.08</v>
      </c>
    </row>
    <row r="122" spans="2:6" ht="15">
      <c r="B122" s="58" t="s">
        <v>28</v>
      </c>
      <c r="C122" s="55">
        <f>SUM(C117:C121)</f>
        <v>275000</v>
      </c>
      <c r="D122" s="55">
        <f>SUM(D117:D121)</f>
        <v>279157.45</v>
      </c>
      <c r="E122" s="55">
        <f>SUM(E117:E121)</f>
        <v>275000</v>
      </c>
      <c r="F122" s="55">
        <f>SUM(F117:F121)</f>
        <v>296385.28</v>
      </c>
    </row>
    <row r="123" spans="2:6" ht="15">
      <c r="B123" s="51" t="s">
        <v>62</v>
      </c>
      <c r="C123" s="52"/>
      <c r="D123" s="53"/>
      <c r="E123" s="51"/>
      <c r="F123" s="51"/>
    </row>
    <row r="124" spans="2:6" ht="15">
      <c r="B124" s="54" t="s">
        <v>74</v>
      </c>
      <c r="C124" s="55">
        <v>20000</v>
      </c>
      <c r="D124" s="55">
        <f>+'[1]Global'!G73</f>
        <v>20000</v>
      </c>
      <c r="E124" s="47">
        <v>20000</v>
      </c>
      <c r="F124" s="47">
        <v>19656.81</v>
      </c>
    </row>
    <row r="125" spans="2:6" ht="15">
      <c r="B125" s="54" t="s">
        <v>109</v>
      </c>
      <c r="C125" s="55">
        <v>5000</v>
      </c>
      <c r="D125" s="55">
        <f>+'[1]Global'!G76</f>
        <v>7000</v>
      </c>
      <c r="E125" s="47">
        <v>5000</v>
      </c>
      <c r="F125" s="47">
        <v>6198.47</v>
      </c>
    </row>
    <row r="126" spans="2:6" ht="15">
      <c r="B126" s="54" t="s">
        <v>110</v>
      </c>
      <c r="C126" s="55">
        <v>107500</v>
      </c>
      <c r="D126" s="55">
        <f>+'[1]Global'!G139</f>
        <v>107499.65</v>
      </c>
      <c r="E126" s="47">
        <v>107500</v>
      </c>
      <c r="F126" s="47">
        <v>107526</v>
      </c>
    </row>
    <row r="127" spans="2:6" ht="15">
      <c r="B127" s="54" t="s">
        <v>111</v>
      </c>
      <c r="C127" s="55">
        <v>0</v>
      </c>
      <c r="D127" s="55">
        <f>+'[1]Global'!G98</f>
        <v>0</v>
      </c>
      <c r="E127" s="47">
        <v>0</v>
      </c>
      <c r="F127" s="47">
        <v>-281.25</v>
      </c>
    </row>
    <row r="128" spans="2:6" ht="15">
      <c r="B128" s="54" t="s">
        <v>112</v>
      </c>
      <c r="C128" s="55">
        <v>34000</v>
      </c>
      <c r="D128" s="55">
        <f>+'[1]Global'!G101</f>
        <v>34000</v>
      </c>
      <c r="E128" s="47">
        <v>34000</v>
      </c>
      <c r="F128" s="47">
        <v>32722.57</v>
      </c>
    </row>
    <row r="129" spans="2:6" ht="15">
      <c r="B129" s="54" t="s">
        <v>76</v>
      </c>
      <c r="C129" s="55">
        <v>241250</v>
      </c>
      <c r="D129" s="55">
        <f>+'[1]Global'!G125+'[1]Global'!G126+'[1]Global'!G129+'[1]Global'!G130+'[1]Global'!G131+'[1]Global'!G132+'[1]Global'!G133+'[1]Global'!G134+'[1]Global'!G135+'[1]Global'!G136+'[1]Global'!G137</f>
        <v>239020.73739792785</v>
      </c>
      <c r="E129" s="47">
        <v>241250</v>
      </c>
      <c r="F129" s="47">
        <v>238540.35</v>
      </c>
    </row>
    <row r="130" spans="2:6" ht="15">
      <c r="B130" s="54" t="s">
        <v>113</v>
      </c>
      <c r="C130" s="55">
        <v>89000</v>
      </c>
      <c r="D130" s="55">
        <f>+'[1]Global'!G120+'[1]Global'!G122</f>
        <v>85000</v>
      </c>
      <c r="E130" s="47">
        <v>89000</v>
      </c>
      <c r="F130" s="47">
        <v>76610.73</v>
      </c>
    </row>
    <row r="131" spans="2:6" ht="15">
      <c r="B131" s="54" t="s">
        <v>114</v>
      </c>
      <c r="C131" s="55">
        <v>12852</v>
      </c>
      <c r="D131" s="55">
        <f>'[1]Global'!G80+'[1]Global'!G85+'[1]Global'!G97+'[1]Global'!G100+'[1]Global'!G124+'[1]Global'!G78+'[1]Global'!G119+'[1]Global'!G81</f>
        <v>8350</v>
      </c>
      <c r="E131" s="47">
        <v>12852</v>
      </c>
      <c r="F131" s="47">
        <v>6019.47</v>
      </c>
    </row>
    <row r="132" spans="2:6" ht="15">
      <c r="B132" s="54" t="s">
        <v>115</v>
      </c>
      <c r="C132" s="80">
        <v>-5000</v>
      </c>
      <c r="D132" s="80">
        <f>+'[1]Global'!G104</f>
        <v>-2500</v>
      </c>
      <c r="E132" s="81">
        <v>-5000</v>
      </c>
      <c r="F132" s="81">
        <v>-2362.5</v>
      </c>
    </row>
    <row r="133" spans="2:6" ht="15">
      <c r="B133" s="54" t="s">
        <v>35</v>
      </c>
      <c r="C133" s="55">
        <f>SUM(C124:C132)</f>
        <v>504602</v>
      </c>
      <c r="D133" s="55">
        <f>SUM(D124:D132)</f>
        <v>498370.3873979278</v>
      </c>
      <c r="E133" s="55">
        <f>SUM(E124:E132)</f>
        <v>504602</v>
      </c>
      <c r="F133" s="55">
        <f>SUM(F124:F132)</f>
        <v>484630.64999999997</v>
      </c>
    </row>
    <row r="134" spans="2:6" ht="15">
      <c r="B134" s="51" t="s">
        <v>78</v>
      </c>
      <c r="C134" s="60">
        <f>C122-C133</f>
        <v>-229602</v>
      </c>
      <c r="D134" s="60">
        <f>D122-D133</f>
        <v>-219212.9373979278</v>
      </c>
      <c r="E134" s="60">
        <f>E122-E133</f>
        <v>-229602</v>
      </c>
      <c r="F134" s="60">
        <f>F122-F133</f>
        <v>-188245.36999999994</v>
      </c>
    </row>
    <row r="135" spans="2:6" ht="15">
      <c r="B135" s="24"/>
      <c r="C135" s="49"/>
      <c r="D135" s="66"/>
      <c r="E135" s="67"/>
      <c r="F135" s="67"/>
    </row>
    <row r="136" spans="3:5" ht="12.75">
      <c r="C136" s="44" t="s">
        <v>3</v>
      </c>
      <c r="D136" s="5" t="s">
        <v>2</v>
      </c>
      <c r="E136" s="6" t="s">
        <v>1</v>
      </c>
    </row>
    <row r="137" spans="2:6" ht="15">
      <c r="B137" s="11" t="s">
        <v>79</v>
      </c>
      <c r="C137" s="7" t="s">
        <v>6</v>
      </c>
      <c r="D137" s="8" t="s">
        <v>4</v>
      </c>
      <c r="E137" s="7" t="s">
        <v>3</v>
      </c>
      <c r="F137" s="8" t="s">
        <v>5</v>
      </c>
    </row>
    <row r="138" spans="3:6" ht="15">
      <c r="C138" s="7" t="s">
        <v>8</v>
      </c>
      <c r="D138" s="8" t="s">
        <v>8</v>
      </c>
      <c r="E138" s="7" t="s">
        <v>8</v>
      </c>
      <c r="F138" s="8" t="s">
        <v>9</v>
      </c>
    </row>
    <row r="139" spans="2:6" ht="15">
      <c r="B139" s="51" t="s">
        <v>57</v>
      </c>
      <c r="C139" s="52"/>
      <c r="D139" s="53"/>
      <c r="E139" s="51"/>
      <c r="F139" s="51"/>
    </row>
    <row r="140" spans="2:6" ht="15">
      <c r="B140" s="54" t="s">
        <v>80</v>
      </c>
      <c r="C140" s="68">
        <v>125000</v>
      </c>
      <c r="D140" s="68">
        <f>+'[1]Global'!F22</f>
        <v>158300</v>
      </c>
      <c r="E140" s="69">
        <v>125000</v>
      </c>
      <c r="F140" s="69">
        <v>138250.54</v>
      </c>
    </row>
    <row r="141" spans="2:6" ht="15">
      <c r="B141" s="54" t="s">
        <v>81</v>
      </c>
      <c r="C141" s="70">
        <v>-57401.25</v>
      </c>
      <c r="D141" s="70">
        <f>-'[1]Global'!F37</f>
        <v>-82599.00125</v>
      </c>
      <c r="E141" s="71">
        <v>-57401.25</v>
      </c>
      <c r="F141" s="71">
        <v>-57405.3</v>
      </c>
    </row>
    <row r="142" spans="2:6" ht="15">
      <c r="B142" s="58" t="s">
        <v>82</v>
      </c>
      <c r="C142" s="55">
        <f>C140+C141</f>
        <v>67598.75</v>
      </c>
      <c r="D142" s="55">
        <f>D140+D141</f>
        <v>75700.99875</v>
      </c>
      <c r="E142" s="55">
        <f>E140+E141</f>
        <v>67598.75</v>
      </c>
      <c r="F142" s="55">
        <f>F140+F141</f>
        <v>80845.24</v>
      </c>
    </row>
    <row r="143" ht="6.75" customHeight="1"/>
    <row r="144" spans="2:6" ht="15">
      <c r="B144" s="54" t="s">
        <v>83</v>
      </c>
      <c r="C144" s="68">
        <v>8204</v>
      </c>
      <c r="D144" s="68">
        <f>+'[1]Global'!F47</f>
        <v>6500</v>
      </c>
      <c r="E144" s="69">
        <v>8204</v>
      </c>
      <c r="F144" s="69">
        <v>10807.26</v>
      </c>
    </row>
    <row r="145" spans="2:6" ht="15">
      <c r="B145" s="54" t="s">
        <v>84</v>
      </c>
      <c r="C145" s="68">
        <v>3500</v>
      </c>
      <c r="D145" s="68">
        <f>+'[1]Global'!F67+'[1]Global'!F65+'[1]Global'!F51</f>
        <v>5700</v>
      </c>
      <c r="E145" s="69">
        <v>3500</v>
      </c>
      <c r="F145" s="69">
        <v>5270.18</v>
      </c>
    </row>
    <row r="146" spans="2:6" ht="15">
      <c r="B146" s="54" t="s">
        <v>85</v>
      </c>
      <c r="C146" s="68">
        <v>3000</v>
      </c>
      <c r="D146" s="68">
        <f>+'[1]Global'!F56</f>
        <v>5000</v>
      </c>
      <c r="E146" s="69">
        <v>3000</v>
      </c>
      <c r="F146" s="69">
        <v>3250</v>
      </c>
    </row>
    <row r="147" spans="2:6" ht="15">
      <c r="B147" s="54" t="s">
        <v>60</v>
      </c>
      <c r="C147" s="72">
        <v>0</v>
      </c>
      <c r="D147" s="72">
        <v>0</v>
      </c>
      <c r="E147" s="73">
        <v>0</v>
      </c>
      <c r="F147" s="73">
        <v>0</v>
      </c>
    </row>
    <row r="148" spans="2:6" ht="15">
      <c r="B148" s="17" t="s">
        <v>86</v>
      </c>
      <c r="C148" s="27">
        <f>SUM(C144:C147)</f>
        <v>14704</v>
      </c>
      <c r="D148" s="27">
        <f>SUM(D144:D147)</f>
        <v>17200</v>
      </c>
      <c r="E148" s="27">
        <f>SUM(E144:E147)</f>
        <v>14704</v>
      </c>
      <c r="F148" s="27">
        <f>SUM(F144:F147)</f>
        <v>19327.440000000002</v>
      </c>
    </row>
    <row r="149" spans="2:6" ht="6" customHeight="1">
      <c r="B149" s="58"/>
      <c r="C149" s="59"/>
      <c r="D149" s="59"/>
      <c r="E149" s="58"/>
      <c r="F149" s="58"/>
    </row>
    <row r="150" spans="2:6" ht="15">
      <c r="B150" s="58" t="s">
        <v>87</v>
      </c>
      <c r="C150" s="55">
        <f>C142+C148</f>
        <v>82302.75</v>
      </c>
      <c r="D150" s="55">
        <f>D142+D148</f>
        <v>92900.99875</v>
      </c>
      <c r="E150" s="55">
        <f>E142+E148</f>
        <v>82302.75</v>
      </c>
      <c r="F150" s="55">
        <f>F142+F148</f>
        <v>100172.68000000001</v>
      </c>
    </row>
    <row r="151" spans="2:6" ht="15">
      <c r="B151" s="51" t="s">
        <v>62</v>
      </c>
      <c r="C151" s="52"/>
      <c r="D151" s="53"/>
      <c r="E151" s="51"/>
      <c r="F151" s="51"/>
    </row>
    <row r="152" spans="2:6" ht="15">
      <c r="B152" s="54" t="s">
        <v>74</v>
      </c>
      <c r="C152" s="68">
        <v>1300</v>
      </c>
      <c r="D152" s="68">
        <f>+'[1]Global'!F73+'[1]Global'!F86</f>
        <v>1200</v>
      </c>
      <c r="E152" s="69">
        <v>1300</v>
      </c>
      <c r="F152" s="69">
        <v>1135.25</v>
      </c>
    </row>
    <row r="153" spans="2:6" ht="15">
      <c r="B153" s="54" t="s">
        <v>88</v>
      </c>
      <c r="C153" s="68">
        <v>1000</v>
      </c>
      <c r="D153" s="68">
        <f>+'[1]Global'!F76</f>
        <v>1000</v>
      </c>
      <c r="E153" s="69">
        <v>1000</v>
      </c>
      <c r="F153" s="69">
        <v>5012.46</v>
      </c>
    </row>
    <row r="154" spans="2:6" ht="15">
      <c r="B154" s="54" t="s">
        <v>89</v>
      </c>
      <c r="C154" s="68">
        <v>3000</v>
      </c>
      <c r="D154" s="68">
        <f>+'[1]Global'!F83</f>
        <v>4500</v>
      </c>
      <c r="E154" s="69">
        <v>3000</v>
      </c>
      <c r="F154" s="69">
        <v>4406</v>
      </c>
    </row>
    <row r="155" spans="2:6" ht="15">
      <c r="B155" s="54" t="s">
        <v>90</v>
      </c>
      <c r="C155" s="68">
        <v>3500</v>
      </c>
      <c r="D155" s="68">
        <f>+'[1]Global'!F92+'[1]Global'!F96</f>
        <v>13000</v>
      </c>
      <c r="E155" s="69">
        <v>3500</v>
      </c>
      <c r="F155" s="69">
        <v>4147.33</v>
      </c>
    </row>
    <row r="156" spans="2:6" ht="15">
      <c r="B156" s="54" t="s">
        <v>76</v>
      </c>
      <c r="C156" s="74">
        <v>75618.25</v>
      </c>
      <c r="D156" s="74">
        <f>+'[1]Global'!F125+'[1]Global'!F127+'[1]Global'!F131+'[1]Global'!F132+'[1]Global'!F133+'[1]Global'!F134+'[1]Global'!F135+'[1]Global'!F129+'[1]Global'!F136+'[1]Global'!F102</f>
        <v>75618.23580302224</v>
      </c>
      <c r="E156" s="20">
        <v>75618.25</v>
      </c>
      <c r="F156" s="20">
        <v>80724.1</v>
      </c>
    </row>
    <row r="157" spans="2:6" ht="15">
      <c r="B157" s="54" t="s">
        <v>91</v>
      </c>
      <c r="C157" s="68">
        <v>1000</v>
      </c>
      <c r="D157" s="68">
        <f>+'[1]Global'!F101</f>
        <v>1000.0000000000001</v>
      </c>
      <c r="E157" s="69">
        <v>1000</v>
      </c>
      <c r="F157" s="69">
        <v>458.4</v>
      </c>
    </row>
    <row r="158" spans="2:6" ht="15">
      <c r="B158" s="54" t="s">
        <v>92</v>
      </c>
      <c r="C158" s="68">
        <v>0</v>
      </c>
      <c r="D158" s="68">
        <f>+'[1]Global'!F97</f>
        <v>1300</v>
      </c>
      <c r="E158" s="69">
        <v>0</v>
      </c>
      <c r="F158" s="69">
        <v>17.97</v>
      </c>
    </row>
    <row r="159" spans="2:6" ht="15">
      <c r="B159" s="54" t="s">
        <v>93</v>
      </c>
      <c r="C159" s="68">
        <v>6800</v>
      </c>
      <c r="D159" s="68">
        <f>+'[1]Global'!F122</f>
        <v>5500</v>
      </c>
      <c r="E159" s="69">
        <v>6800</v>
      </c>
      <c r="F159" s="69">
        <v>7180.68</v>
      </c>
    </row>
    <row r="160" spans="2:6" ht="15">
      <c r="B160" s="54" t="s">
        <v>66</v>
      </c>
      <c r="C160" s="68">
        <v>2800</v>
      </c>
      <c r="D160" s="68">
        <f>+'[1]Global'!F100+'[1]Global'!F138</f>
        <v>2800</v>
      </c>
      <c r="E160" s="69">
        <v>2800</v>
      </c>
      <c r="F160" s="69">
        <v>2421.01</v>
      </c>
    </row>
    <row r="161" spans="2:6" ht="15">
      <c r="B161" s="54" t="s">
        <v>70</v>
      </c>
      <c r="C161" s="75">
        <v>14003.99</v>
      </c>
      <c r="D161" s="75">
        <f>+'[1]Global'!F94+'[1]Global'!F84+'[1]Global'!F77+'[1]Global'!F80+'[1]Global'!F85+'[1]Global'!F91+'[1]Global'!F114+'[1]Global'!F115+'[1]Global'!F117+'[1]Global'!F142+'[1]Global'!F120+'[1]Global'!F116+'[1]Global'!F95+'[1]Global'!F110+'[1]Global'!F118+'[1]Global'!F119</f>
        <v>8832</v>
      </c>
      <c r="E161" s="21">
        <v>14003.99</v>
      </c>
      <c r="F161" s="21">
        <v>11574.8</v>
      </c>
    </row>
    <row r="162" spans="2:6" ht="15">
      <c r="B162" s="58" t="s">
        <v>35</v>
      </c>
      <c r="C162" s="68">
        <f>SUM(C152:C161)</f>
        <v>109022.24</v>
      </c>
      <c r="D162" s="68">
        <f>SUM(D152:D161)</f>
        <v>114750.23580302224</v>
      </c>
      <c r="E162" s="68">
        <f>SUM(E152:E161)</f>
        <v>109022.24</v>
      </c>
      <c r="F162" s="68">
        <f>SUM(F152:F161)</f>
        <v>117078</v>
      </c>
    </row>
    <row r="163" spans="2:6" ht="15">
      <c r="B163" s="51" t="s">
        <v>36</v>
      </c>
      <c r="C163" s="60">
        <f>C150-C162</f>
        <v>-26719.490000000005</v>
      </c>
      <c r="D163" s="60">
        <f>D150-D162</f>
        <v>-21849.23705302224</v>
      </c>
      <c r="E163" s="60">
        <f>E150-E162</f>
        <v>-26719.490000000005</v>
      </c>
      <c r="F163" s="60">
        <f>F150-F162</f>
        <v>-16905.319999999992</v>
      </c>
    </row>
    <row r="165" ht="12.75">
      <c r="C165" s="43" t="s">
        <v>1</v>
      </c>
    </row>
    <row r="166" spans="3:5" ht="12.75">
      <c r="C166" s="44" t="s">
        <v>3</v>
      </c>
      <c r="D166" s="5" t="s">
        <v>2</v>
      </c>
      <c r="E166" s="6" t="s">
        <v>1</v>
      </c>
    </row>
    <row r="167" spans="2:6" ht="15">
      <c r="B167" s="11" t="s">
        <v>94</v>
      </c>
      <c r="C167" s="7" t="s">
        <v>6</v>
      </c>
      <c r="D167" s="8" t="s">
        <v>4</v>
      </c>
      <c r="E167" s="7" t="s">
        <v>3</v>
      </c>
      <c r="F167" s="8" t="s">
        <v>5</v>
      </c>
    </row>
    <row r="168" spans="3:6" ht="15">
      <c r="C168" s="7" t="s">
        <v>8</v>
      </c>
      <c r="D168" s="8" t="s">
        <v>8</v>
      </c>
      <c r="E168" s="7" t="s">
        <v>8</v>
      </c>
      <c r="F168" s="8" t="s">
        <v>9</v>
      </c>
    </row>
    <row r="169" spans="2:6" ht="15">
      <c r="B169" s="51" t="s">
        <v>57</v>
      </c>
      <c r="C169" s="52"/>
      <c r="D169" s="53"/>
      <c r="E169" s="51"/>
      <c r="F169" s="51"/>
    </row>
    <row r="170" spans="2:6" ht="15">
      <c r="B170" s="54" t="s">
        <v>95</v>
      </c>
      <c r="C170" s="68">
        <v>240000</v>
      </c>
      <c r="D170" s="68">
        <f>+'[1]Global'!E22</f>
        <v>254000</v>
      </c>
      <c r="E170" s="69">
        <v>240000</v>
      </c>
      <c r="F170" s="69">
        <v>214028.81</v>
      </c>
    </row>
    <row r="171" spans="2:6" ht="15">
      <c r="B171" s="54" t="s">
        <v>81</v>
      </c>
      <c r="C171" s="70">
        <v>-196200</v>
      </c>
      <c r="D171" s="70">
        <f>-'[1]Global'!E37</f>
        <v>-199336.5064</v>
      </c>
      <c r="E171" s="71">
        <v>-196200</v>
      </c>
      <c r="F171" s="71">
        <v>-206815.29</v>
      </c>
    </row>
    <row r="172" spans="2:6" ht="15">
      <c r="B172" s="58" t="s">
        <v>82</v>
      </c>
      <c r="C172" s="74">
        <f>C170+C171</f>
        <v>43800</v>
      </c>
      <c r="D172" s="74">
        <f>D170+D171</f>
        <v>54663.49359999999</v>
      </c>
      <c r="E172" s="74">
        <f>E170+E171</f>
        <v>43800</v>
      </c>
      <c r="F172" s="74">
        <f>F170+F171</f>
        <v>7213.5199999999895</v>
      </c>
    </row>
    <row r="173" spans="2:6" ht="15">
      <c r="B173" s="51" t="s">
        <v>62</v>
      </c>
      <c r="C173" s="52"/>
      <c r="D173" s="76"/>
      <c r="E173" s="77"/>
      <c r="F173" s="77"/>
    </row>
    <row r="174" spans="2:6" ht="15">
      <c r="B174" s="54" t="s">
        <v>96</v>
      </c>
      <c r="C174" s="55">
        <v>500</v>
      </c>
      <c r="D174" s="55">
        <f>+'[1]Global'!E73+'[1]Global'!E86</f>
        <v>1300.005</v>
      </c>
      <c r="E174" s="47">
        <v>500</v>
      </c>
      <c r="F174" s="47">
        <v>1074.37</v>
      </c>
    </row>
    <row r="175" spans="2:6" ht="15">
      <c r="B175" s="54" t="s">
        <v>97</v>
      </c>
      <c r="C175" s="55">
        <v>33300</v>
      </c>
      <c r="D175" s="55">
        <f>+'[1]Global'!E113</f>
        <v>33053.7</v>
      </c>
      <c r="E175" s="47">
        <v>33300</v>
      </c>
      <c r="F175" s="47">
        <v>32537.86</v>
      </c>
    </row>
    <row r="176" spans="2:6" ht="15">
      <c r="B176" s="54" t="s">
        <v>98</v>
      </c>
      <c r="C176" s="55">
        <v>1800</v>
      </c>
      <c r="D176" s="55">
        <f>+'[1]Global'!E142+'[1]Global'!E117</f>
        <v>1237.41</v>
      </c>
      <c r="E176" s="47">
        <v>1800</v>
      </c>
      <c r="F176" s="47">
        <v>3551.37</v>
      </c>
    </row>
    <row r="177" spans="2:6" ht="15">
      <c r="B177" s="54" t="s">
        <v>99</v>
      </c>
      <c r="C177" s="55">
        <v>1000</v>
      </c>
      <c r="D177" s="55">
        <f>+'[1]Global'!E92</f>
        <v>1250</v>
      </c>
      <c r="E177" s="47">
        <v>1000</v>
      </c>
      <c r="F177" s="47">
        <v>1495.41</v>
      </c>
    </row>
    <row r="178" spans="2:6" ht="15">
      <c r="B178" s="54" t="s">
        <v>76</v>
      </c>
      <c r="C178" s="55">
        <v>55638.78</v>
      </c>
      <c r="D178" s="55">
        <f>+'[1]Global'!E125+'[1]Global'!E127+'[1]Global'!E131+'[1]Global'!E132+'[1]Global'!E133+'[1]Global'!E134+'[1]Global'!E135+'[1]Global'!E129+'[1]Global'!E136+'[1]Global'!E102</f>
        <v>61449.26227579999</v>
      </c>
      <c r="E178" s="47">
        <v>55638.78</v>
      </c>
      <c r="F178" s="47">
        <v>54766.09</v>
      </c>
    </row>
    <row r="179" spans="2:6" ht="15">
      <c r="B179" s="54" t="s">
        <v>91</v>
      </c>
      <c r="C179" s="55">
        <v>700</v>
      </c>
      <c r="D179" s="55">
        <f>+'[1]Global'!E101</f>
        <v>1233</v>
      </c>
      <c r="E179" s="47">
        <v>700</v>
      </c>
      <c r="F179" s="47">
        <v>854.24</v>
      </c>
    </row>
    <row r="180" spans="2:6" ht="15">
      <c r="B180" s="54" t="s">
        <v>100</v>
      </c>
      <c r="C180" s="55">
        <v>2600</v>
      </c>
      <c r="D180" s="55">
        <f>+'[1]Global'!E100</f>
        <v>2527.81</v>
      </c>
      <c r="E180" s="47">
        <v>2600</v>
      </c>
      <c r="F180" s="47">
        <v>2548.4</v>
      </c>
    </row>
    <row r="181" spans="2:6" ht="15">
      <c r="B181" s="54" t="s">
        <v>101</v>
      </c>
      <c r="C181" s="55">
        <v>12500</v>
      </c>
      <c r="D181" s="55">
        <f>+'[1]Global'!E110+'[1]Global'!E109</f>
        <v>12500</v>
      </c>
      <c r="E181" s="47">
        <v>12500</v>
      </c>
      <c r="F181" s="47">
        <v>10</v>
      </c>
    </row>
    <row r="182" spans="2:6" ht="15">
      <c r="B182" s="54" t="s">
        <v>102</v>
      </c>
      <c r="C182" s="55">
        <v>0</v>
      </c>
      <c r="D182" s="55">
        <f>+'[1]Global'!E120</f>
        <v>531.67</v>
      </c>
      <c r="E182" s="47">
        <v>0</v>
      </c>
      <c r="F182" s="47">
        <v>0</v>
      </c>
    </row>
    <row r="183" spans="2:6" ht="15">
      <c r="B183" s="54" t="s">
        <v>70</v>
      </c>
      <c r="C183" s="56">
        <v>2850</v>
      </c>
      <c r="D183" s="56">
        <f>+'[1]Global'!E76+'[1]Global'!E79+'[1]Global'!E80+'[1]Global'!E85+'[1]Global'!E77+'[1]Global'!E83+'[1]Global'!E91+'[1]Global'!E81</f>
        <v>4693.07</v>
      </c>
      <c r="E183" s="57">
        <v>2850</v>
      </c>
      <c r="F183" s="57">
        <v>1534.62</v>
      </c>
    </row>
    <row r="184" spans="2:6" ht="15">
      <c r="B184" s="58" t="s">
        <v>35</v>
      </c>
      <c r="C184" s="55">
        <f>SUM(C174:C183)</f>
        <v>110888.78</v>
      </c>
      <c r="D184" s="55">
        <f>SUM(D174:D183)</f>
        <v>119775.92727579997</v>
      </c>
      <c r="E184" s="55">
        <f>SUM(E174:E183)</f>
        <v>110888.78</v>
      </c>
      <c r="F184" s="55">
        <f>SUM(F174:F183)</f>
        <v>98372.36</v>
      </c>
    </row>
    <row r="185" spans="2:6" ht="15">
      <c r="B185" s="51" t="s">
        <v>36</v>
      </c>
      <c r="C185" s="60">
        <f>C172-C184</f>
        <v>-67088.78</v>
      </c>
      <c r="D185" s="60">
        <f>D172-D184</f>
        <v>-65112.433675799984</v>
      </c>
      <c r="E185" s="60">
        <f>E172-E184</f>
        <v>-67088.78</v>
      </c>
      <c r="F185" s="60">
        <f>F172-F184</f>
        <v>-91158.84000000001</v>
      </c>
    </row>
    <row r="187" spans="2:5" ht="15">
      <c r="B187" s="24"/>
      <c r="C187" s="49"/>
      <c r="D187" s="5" t="s">
        <v>2</v>
      </c>
      <c r="E187" s="6" t="s">
        <v>1</v>
      </c>
    </row>
    <row r="188" spans="2:6" ht="15">
      <c r="B188" s="24" t="s">
        <v>191</v>
      </c>
      <c r="C188" s="49"/>
      <c r="D188" s="8" t="s">
        <v>4</v>
      </c>
      <c r="E188" s="7" t="s">
        <v>3</v>
      </c>
      <c r="F188" s="8" t="s">
        <v>5</v>
      </c>
    </row>
    <row r="189" spans="2:6" ht="15">
      <c r="B189" s="24"/>
      <c r="C189" s="49"/>
      <c r="D189" s="8" t="s">
        <v>8</v>
      </c>
      <c r="E189" s="7" t="s">
        <v>8</v>
      </c>
      <c r="F189" s="8" t="s">
        <v>9</v>
      </c>
    </row>
    <row r="190" spans="2:6" ht="15">
      <c r="B190" s="51" t="s">
        <v>57</v>
      </c>
      <c r="C190" s="49"/>
      <c r="D190" s="66"/>
      <c r="E190" s="67"/>
      <c r="F190" s="67"/>
    </row>
    <row r="191" spans="2:6" ht="15">
      <c r="B191" s="11" t="s">
        <v>192</v>
      </c>
      <c r="C191" s="49"/>
      <c r="D191" s="114">
        <f>+D140+D148</f>
        <v>175500</v>
      </c>
      <c r="E191" s="114">
        <f>+E140+E148</f>
        <v>139704</v>
      </c>
      <c r="F191" s="114">
        <f>+F140+F148</f>
        <v>157577.98</v>
      </c>
    </row>
    <row r="192" spans="2:6" ht="15">
      <c r="B192" s="11" t="s">
        <v>193</v>
      </c>
      <c r="C192" s="49"/>
      <c r="D192" s="114">
        <f>+RevHavenBooks</f>
        <v>254000</v>
      </c>
      <c r="E192" s="114">
        <f>+E170</f>
        <v>240000</v>
      </c>
      <c r="F192" s="114">
        <f>+F170</f>
        <v>214028.81</v>
      </c>
    </row>
    <row r="193" spans="2:6" ht="17.25">
      <c r="B193" s="11" t="s">
        <v>194</v>
      </c>
      <c r="C193" s="49"/>
      <c r="D193" s="116">
        <v>57970</v>
      </c>
      <c r="E193" s="117">
        <v>44000</v>
      </c>
      <c r="F193" s="117">
        <v>57253</v>
      </c>
    </row>
    <row r="194" spans="2:6" ht="15">
      <c r="B194" s="58" t="s">
        <v>28</v>
      </c>
      <c r="C194" s="49"/>
      <c r="D194" s="114">
        <f>SUM(D191:D193)</f>
        <v>487470</v>
      </c>
      <c r="E194" s="114">
        <f>SUM(E191:E193)</f>
        <v>423704</v>
      </c>
      <c r="F194" s="114">
        <f>SUM(F191:F193)</f>
        <v>428859.79000000004</v>
      </c>
    </row>
    <row r="195" spans="2:6" ht="15">
      <c r="B195" s="51" t="s">
        <v>62</v>
      </c>
      <c r="C195" s="49"/>
      <c r="D195" s="114"/>
      <c r="E195" s="115"/>
      <c r="F195" s="115"/>
    </row>
    <row r="196" spans="2:6" ht="15">
      <c r="B196" s="11" t="s">
        <v>192</v>
      </c>
      <c r="C196" s="49"/>
      <c r="D196" s="114">
        <f>-D141+D162</f>
        <v>197349.23705302225</v>
      </c>
      <c r="E196" s="114">
        <f>-E141+E162</f>
        <v>166423.49</v>
      </c>
      <c r="F196" s="114">
        <f>-F141+F162</f>
        <v>174483.3</v>
      </c>
    </row>
    <row r="197" spans="2:6" ht="15">
      <c r="B197" s="11" t="s">
        <v>193</v>
      </c>
      <c r="C197" s="49"/>
      <c r="D197" s="114">
        <f>-D171+D184</f>
        <v>319112.4336758</v>
      </c>
      <c r="E197" s="114">
        <f>-E171+E184</f>
        <v>307088.78</v>
      </c>
      <c r="F197" s="114">
        <f>-F171+F184</f>
        <v>305187.65</v>
      </c>
    </row>
    <row r="198" spans="2:6" ht="17.25">
      <c r="B198" s="11" t="s">
        <v>194</v>
      </c>
      <c r="C198" s="49"/>
      <c r="D198" s="116">
        <v>37329.51</v>
      </c>
      <c r="E198" s="117">
        <v>32000</v>
      </c>
      <c r="F198" s="117">
        <v>34822.44</v>
      </c>
    </row>
    <row r="199" spans="2:6" ht="15">
      <c r="B199" s="17" t="s">
        <v>35</v>
      </c>
      <c r="C199" s="49"/>
      <c r="D199" s="114">
        <f>SUM(D196:D198)</f>
        <v>553791.1807288222</v>
      </c>
      <c r="E199" s="114">
        <f>SUM(E196:E198)</f>
        <v>505512.27</v>
      </c>
      <c r="F199" s="114">
        <f>SUM(F196:F198)</f>
        <v>514493.39</v>
      </c>
    </row>
    <row r="200" spans="3:6" ht="15">
      <c r="C200" s="49"/>
      <c r="D200" s="114"/>
      <c r="E200" s="115"/>
      <c r="F200" s="115"/>
    </row>
    <row r="201" spans="2:6" ht="15">
      <c r="B201" s="24" t="s">
        <v>36</v>
      </c>
      <c r="C201" s="49"/>
      <c r="D201" s="114">
        <f>+D194-D199</f>
        <v>-66321.18072882225</v>
      </c>
      <c r="E201" s="114">
        <f>+E194-E199</f>
        <v>-81808.27000000002</v>
      </c>
      <c r="F201" s="114">
        <f>+F194-F199</f>
        <v>-85633.59999999998</v>
      </c>
    </row>
    <row r="203" spans="4:5" ht="12.75">
      <c r="D203" s="5" t="s">
        <v>2</v>
      </c>
      <c r="E203" s="6" t="s">
        <v>1</v>
      </c>
    </row>
    <row r="204" spans="4:6" ht="15">
      <c r="D204" s="8" t="s">
        <v>4</v>
      </c>
      <c r="E204" s="7" t="s">
        <v>3</v>
      </c>
      <c r="F204" s="8" t="s">
        <v>5</v>
      </c>
    </row>
    <row r="205" spans="4:6" ht="15">
      <c r="D205" s="8" t="s">
        <v>8</v>
      </c>
      <c r="E205" s="7" t="s">
        <v>8</v>
      </c>
      <c r="F205" s="8" t="s">
        <v>9</v>
      </c>
    </row>
    <row r="207" ht="15">
      <c r="B207" s="24" t="s">
        <v>189</v>
      </c>
    </row>
    <row r="209" spans="2:6" ht="15">
      <c r="B209" s="11" t="s">
        <v>26</v>
      </c>
      <c r="C209" s="29">
        <v>46000</v>
      </c>
      <c r="D209" s="29">
        <f>65000+10000</f>
        <v>75000</v>
      </c>
      <c r="E209" s="30">
        <v>46000</v>
      </c>
      <c r="F209" s="30">
        <v>42213.81</v>
      </c>
    </row>
    <row r="210" spans="2:6" ht="15">
      <c r="B210" s="54" t="s">
        <v>131</v>
      </c>
      <c r="C210" s="84">
        <v>70461.8</v>
      </c>
      <c r="D210" s="84">
        <f>+'[1]Global'!BL146</f>
        <v>69878.25</v>
      </c>
      <c r="E210" s="85">
        <v>70461.8</v>
      </c>
      <c r="F210" s="85">
        <v>68992.85</v>
      </c>
    </row>
    <row r="211" spans="2:6" ht="15">
      <c r="B211" s="54" t="s">
        <v>132</v>
      </c>
      <c r="C211" s="86">
        <v>44796</v>
      </c>
      <c r="D211" s="84">
        <f>+'[1]Global'!BM146</f>
        <v>44511.198626666664</v>
      </c>
      <c r="E211" s="85">
        <v>44796</v>
      </c>
      <c r="F211" s="85">
        <v>36818.03</v>
      </c>
    </row>
    <row r="212" spans="2:6" ht="15">
      <c r="B212" s="54" t="s">
        <v>190</v>
      </c>
      <c r="C212" s="55">
        <v>39115.6</v>
      </c>
      <c r="D212" s="56">
        <f>+'[1]Global'!G99</f>
        <v>40874</v>
      </c>
      <c r="E212" s="57">
        <v>39115.6</v>
      </c>
      <c r="F212" s="57">
        <v>17960.91</v>
      </c>
    </row>
    <row r="214" spans="2:6" ht="15">
      <c r="B214" s="54" t="s">
        <v>198</v>
      </c>
      <c r="C214" s="43" t="s">
        <v>1</v>
      </c>
      <c r="D214" s="112">
        <f>SUM(D209:D213)</f>
        <v>230263.44862666668</v>
      </c>
      <c r="E214" s="112">
        <f>SUM(E209:E213)</f>
        <v>200373.4</v>
      </c>
      <c r="F214" s="112">
        <f>SUM(F209:F213)</f>
        <v>165985.6</v>
      </c>
    </row>
    <row r="216" spans="2:5" ht="15">
      <c r="B216" s="54"/>
      <c r="C216" s="44" t="s">
        <v>3</v>
      </c>
      <c r="D216" s="5" t="s">
        <v>2</v>
      </c>
      <c r="E216" s="6" t="s">
        <v>1</v>
      </c>
    </row>
    <row r="217" spans="2:6" ht="15">
      <c r="B217" s="54" t="s">
        <v>116</v>
      </c>
      <c r="C217" s="7" t="s">
        <v>6</v>
      </c>
      <c r="D217" s="8" t="s">
        <v>4</v>
      </c>
      <c r="E217" s="7" t="s">
        <v>3</v>
      </c>
      <c r="F217" s="8" t="s">
        <v>5</v>
      </c>
    </row>
    <row r="218" spans="3:6" ht="15">
      <c r="C218" s="7" t="s">
        <v>8</v>
      </c>
      <c r="D218" s="8" t="s">
        <v>8</v>
      </c>
      <c r="E218" s="7" t="s">
        <v>8</v>
      </c>
      <c r="F218" s="8" t="s">
        <v>9</v>
      </c>
    </row>
    <row r="219" spans="2:6" ht="15">
      <c r="B219" s="51" t="s">
        <v>117</v>
      </c>
      <c r="C219" s="52"/>
      <c r="D219" s="53"/>
      <c r="E219" s="51"/>
      <c r="F219" s="51"/>
    </row>
    <row r="220" spans="2:6" ht="15">
      <c r="B220" s="54" t="s">
        <v>118</v>
      </c>
      <c r="C220" s="55">
        <v>0</v>
      </c>
      <c r="D220" s="55">
        <f>+'[1]Global'!M70</f>
        <v>0</v>
      </c>
      <c r="E220" s="47">
        <v>0</v>
      </c>
      <c r="F220" s="47">
        <v>0</v>
      </c>
    </row>
    <row r="221" spans="2:6" ht="15">
      <c r="B221" s="54" t="s">
        <v>119</v>
      </c>
      <c r="C221" s="55">
        <v>6850</v>
      </c>
      <c r="D221" s="55">
        <f>+'[1]Global'!Q70</f>
        <v>6850</v>
      </c>
      <c r="E221" s="47">
        <v>6850</v>
      </c>
      <c r="F221" s="47">
        <v>1925</v>
      </c>
    </row>
    <row r="222" spans="2:6" ht="15">
      <c r="B222" s="54" t="s">
        <v>120</v>
      </c>
      <c r="C222" s="55"/>
      <c r="D222" s="56">
        <v>0</v>
      </c>
      <c r="E222" s="57">
        <v>0</v>
      </c>
      <c r="F222" s="57">
        <v>1140</v>
      </c>
    </row>
    <row r="223" spans="2:6" ht="15">
      <c r="B223" s="58" t="s">
        <v>28</v>
      </c>
      <c r="C223" s="55">
        <f>SUM(C220:C336)</f>
        <v>41850</v>
      </c>
      <c r="D223" s="55">
        <f>SUM(D220:D222)</f>
        <v>6850</v>
      </c>
      <c r="E223" s="55">
        <f>SUM(E220:E222)</f>
        <v>6850</v>
      </c>
      <c r="F223" s="55">
        <f>SUM(F220:F222)</f>
        <v>3065</v>
      </c>
    </row>
    <row r="224" spans="2:6" ht="15">
      <c r="B224" s="51" t="s">
        <v>62</v>
      </c>
      <c r="C224" s="52"/>
      <c r="D224" s="53"/>
      <c r="E224" s="51"/>
      <c r="F224" s="51"/>
    </row>
    <row r="225" spans="2:6" ht="15">
      <c r="B225" s="54" t="s">
        <v>122</v>
      </c>
      <c r="C225" s="84">
        <v>179600</v>
      </c>
      <c r="D225" s="84">
        <f>+'[1]Global'!J146+'[1]Global'!K146+'[1]Global'!L146+'[1]Global'!O146+'[1]Global'!N146+'[1]Global'!Y146+0.02</f>
        <v>179600.00000000003</v>
      </c>
      <c r="E225" s="85">
        <v>179600</v>
      </c>
      <c r="F225" s="85">
        <v>163792.36</v>
      </c>
    </row>
    <row r="226" spans="2:6" ht="15">
      <c r="B226" s="54" t="s">
        <v>119</v>
      </c>
      <c r="C226" s="84">
        <v>33850</v>
      </c>
      <c r="D226" s="84">
        <f>+'[1]Global'!Q146</f>
        <v>33849.99999999999</v>
      </c>
      <c r="E226" s="85">
        <v>33850</v>
      </c>
      <c r="F226" s="85">
        <v>24923.18</v>
      </c>
    </row>
    <row r="227" spans="2:6" ht="15">
      <c r="B227" s="54" t="s">
        <v>124</v>
      </c>
      <c r="C227" s="84">
        <v>500</v>
      </c>
      <c r="D227" s="84">
        <f>+'[1]Global'!S146</f>
        <v>500</v>
      </c>
      <c r="E227" s="85">
        <v>500</v>
      </c>
      <c r="F227" s="85">
        <v>965.03</v>
      </c>
    </row>
    <row r="228" spans="2:6" ht="15">
      <c r="B228" s="54" t="s">
        <v>120</v>
      </c>
      <c r="C228" s="84">
        <v>770</v>
      </c>
      <c r="D228" s="84">
        <f>+'[1]Global'!R146</f>
        <v>770.0015</v>
      </c>
      <c r="E228" s="85">
        <v>770</v>
      </c>
      <c r="F228" s="85">
        <v>544.77</v>
      </c>
    </row>
    <row r="229" spans="2:6" ht="15">
      <c r="B229" s="54" t="s">
        <v>125</v>
      </c>
      <c r="C229" s="84">
        <v>7882</v>
      </c>
      <c r="D229" s="84">
        <f>+'[1]Global'!T146</f>
        <v>7881.9974999999995</v>
      </c>
      <c r="E229" s="85">
        <v>7882</v>
      </c>
      <c r="F229" s="85">
        <v>3910.99</v>
      </c>
    </row>
    <row r="230" spans="2:6" ht="15">
      <c r="B230" s="54" t="s">
        <v>126</v>
      </c>
      <c r="C230" s="84">
        <v>4000</v>
      </c>
      <c r="D230" s="84">
        <f>+'[1]Global'!P146</f>
        <v>4000</v>
      </c>
      <c r="E230" s="85">
        <v>4000</v>
      </c>
      <c r="F230" s="85">
        <v>4520.9</v>
      </c>
    </row>
    <row r="231" spans="2:6" ht="15">
      <c r="B231" s="54" t="s">
        <v>127</v>
      </c>
      <c r="C231" s="84">
        <v>21000</v>
      </c>
      <c r="D231" s="84">
        <f>+'[1]Global'!U146</f>
        <v>21000</v>
      </c>
      <c r="E231" s="85">
        <v>21000</v>
      </c>
      <c r="F231" s="85">
        <v>15452.52</v>
      </c>
    </row>
    <row r="232" spans="2:6" ht="15">
      <c r="B232" s="54" t="s">
        <v>128</v>
      </c>
      <c r="C232" s="84">
        <v>2000</v>
      </c>
      <c r="D232" s="84">
        <f>+'[1]Global'!X146</f>
        <v>2000</v>
      </c>
      <c r="E232" s="85">
        <v>2000</v>
      </c>
      <c r="F232" s="85">
        <v>808.16</v>
      </c>
    </row>
    <row r="233" spans="2:6" ht="15">
      <c r="B233" s="54" t="s">
        <v>129</v>
      </c>
      <c r="C233" s="84">
        <v>14750</v>
      </c>
      <c r="D233" s="84">
        <f>+'[1]Global'!V146</f>
        <v>14750.003333333332</v>
      </c>
      <c r="E233" s="85">
        <v>14750</v>
      </c>
      <c r="F233" s="85">
        <v>16979.95</v>
      </c>
    </row>
    <row r="234" spans="2:6" ht="15">
      <c r="B234" s="54" t="s">
        <v>130</v>
      </c>
      <c r="C234" s="84">
        <v>7280</v>
      </c>
      <c r="D234" s="84">
        <f>+'[1]Global'!W146</f>
        <v>7280</v>
      </c>
      <c r="E234" s="85">
        <v>7280</v>
      </c>
      <c r="F234" s="85">
        <v>7988.94</v>
      </c>
    </row>
    <row r="235" spans="2:6" ht="15">
      <c r="B235" s="58" t="s">
        <v>35</v>
      </c>
      <c r="C235" s="55">
        <f>SUM(C225:C344)</f>
        <v>306632</v>
      </c>
      <c r="D235" s="55">
        <f>SUM(D225:D234)</f>
        <v>271632.00233333337</v>
      </c>
      <c r="E235" s="55">
        <f>SUM(E225:E234)</f>
        <v>271632</v>
      </c>
      <c r="F235" s="55">
        <f>SUM(F225:F234)</f>
        <v>239886.79999999996</v>
      </c>
    </row>
    <row r="236" spans="2:6" ht="15">
      <c r="B236" s="51" t="s">
        <v>78</v>
      </c>
      <c r="C236" s="60">
        <f>C223-C235</f>
        <v>-271982</v>
      </c>
      <c r="D236" s="60">
        <f>D223-D235</f>
        <v>-264782.00233333337</v>
      </c>
      <c r="E236" s="60">
        <f>E223-E235</f>
        <v>-264782</v>
      </c>
      <c r="F236" s="60">
        <f>F223-F235</f>
        <v>-236821.79999999996</v>
      </c>
    </row>
    <row r="238" ht="12.75">
      <c r="C238" s="43" t="s">
        <v>1</v>
      </c>
    </row>
    <row r="239" spans="3:5" ht="12.75">
      <c r="C239" s="44" t="s">
        <v>3</v>
      </c>
      <c r="D239" s="5" t="s">
        <v>2</v>
      </c>
      <c r="E239" s="6" t="s">
        <v>1</v>
      </c>
    </row>
    <row r="240" spans="2:6" ht="15">
      <c r="B240" s="11" t="s">
        <v>133</v>
      </c>
      <c r="C240" s="7" t="s">
        <v>6</v>
      </c>
      <c r="D240" s="8" t="s">
        <v>4</v>
      </c>
      <c r="E240" s="7" t="s">
        <v>3</v>
      </c>
      <c r="F240" s="8" t="s">
        <v>5</v>
      </c>
    </row>
    <row r="241" spans="3:6" ht="15">
      <c r="C241" s="7" t="s">
        <v>8</v>
      </c>
      <c r="D241" s="8" t="s">
        <v>8</v>
      </c>
      <c r="E241" s="7" t="s">
        <v>8</v>
      </c>
      <c r="F241" s="8" t="s">
        <v>9</v>
      </c>
    </row>
    <row r="242" spans="2:6" ht="15">
      <c r="B242" s="51" t="s">
        <v>117</v>
      </c>
      <c r="C242" s="52"/>
      <c r="D242" s="53"/>
      <c r="E242" s="51"/>
      <c r="F242" s="51"/>
    </row>
    <row r="243" spans="2:6" ht="15">
      <c r="B243" s="54" t="s">
        <v>134</v>
      </c>
      <c r="C243" s="74">
        <v>129500</v>
      </c>
      <c r="D243" s="74">
        <f>+'[1]Global'!Z70</f>
        <v>112156.86</v>
      </c>
      <c r="E243" s="20">
        <v>129500</v>
      </c>
      <c r="F243" s="20">
        <v>130446.87</v>
      </c>
    </row>
    <row r="244" spans="2:6" ht="15">
      <c r="B244" s="54" t="s">
        <v>135</v>
      </c>
      <c r="C244" s="74">
        <v>10000</v>
      </c>
      <c r="D244" s="74">
        <f>'[1]Global'!AD70</f>
        <v>10000</v>
      </c>
      <c r="E244" s="20">
        <v>10000</v>
      </c>
      <c r="F244" s="20">
        <v>1500</v>
      </c>
    </row>
    <row r="245" spans="2:6" ht="15">
      <c r="B245" s="54" t="s">
        <v>136</v>
      </c>
      <c r="C245" s="74"/>
      <c r="D245" s="74">
        <v>0</v>
      </c>
      <c r="E245" s="20">
        <v>0</v>
      </c>
      <c r="F245" s="20">
        <v>775</v>
      </c>
    </row>
    <row r="246" spans="2:6" ht="15">
      <c r="B246" s="54" t="s">
        <v>137</v>
      </c>
      <c r="C246" s="74">
        <v>1140</v>
      </c>
      <c r="D246" s="74">
        <f>+'[1]Global'!AF70</f>
        <v>1140</v>
      </c>
      <c r="E246" s="20">
        <v>1140</v>
      </c>
      <c r="F246" s="20">
        <v>0</v>
      </c>
    </row>
    <row r="247" spans="2:6" ht="15">
      <c r="B247" s="54" t="s">
        <v>138</v>
      </c>
      <c r="C247" s="74">
        <v>0</v>
      </c>
      <c r="D247" s="74">
        <f>+'[1]Global'!AI70</f>
        <v>0</v>
      </c>
      <c r="E247" s="20">
        <v>0</v>
      </c>
      <c r="F247" s="20">
        <v>162.75</v>
      </c>
    </row>
    <row r="248" spans="2:6" ht="15">
      <c r="B248" s="54" t="s">
        <v>139</v>
      </c>
      <c r="C248" s="74">
        <v>2500</v>
      </c>
      <c r="D248" s="74">
        <f>+'[1]Global'!AJ70</f>
        <v>2500</v>
      </c>
      <c r="E248" s="20">
        <v>2500</v>
      </c>
      <c r="F248" s="20">
        <v>765</v>
      </c>
    </row>
    <row r="249" spans="2:6" ht="15">
      <c r="B249" s="54" t="s">
        <v>140</v>
      </c>
      <c r="C249" s="74">
        <v>14450</v>
      </c>
      <c r="D249" s="74">
        <f>+'[1]Global'!AK22+'[1]Global'!AK70</f>
        <v>14450</v>
      </c>
      <c r="E249" s="20">
        <v>14450</v>
      </c>
      <c r="F249" s="20">
        <v>23329.25</v>
      </c>
    </row>
    <row r="250" spans="2:6" ht="15">
      <c r="B250" s="54" t="s">
        <v>141</v>
      </c>
      <c r="C250" s="74">
        <v>0</v>
      </c>
      <c r="D250" s="74">
        <f>'[1]Global'!AN39+'[1]Global'!AN70</f>
        <v>0</v>
      </c>
      <c r="E250" s="20">
        <v>0</v>
      </c>
      <c r="F250" s="20">
        <v>26643.66</v>
      </c>
    </row>
    <row r="251" spans="2:6" ht="15">
      <c r="B251" s="54" t="s">
        <v>142</v>
      </c>
      <c r="C251" s="74">
        <f>+'[1]Global'!AL70</f>
        <v>0</v>
      </c>
      <c r="D251" s="74">
        <f>+'[1]Global'!AL70</f>
        <v>0</v>
      </c>
      <c r="E251" s="20">
        <v>0</v>
      </c>
      <c r="F251" s="20">
        <v>0</v>
      </c>
    </row>
    <row r="252" spans="2:6" ht="15">
      <c r="B252" s="54" t="s">
        <v>143</v>
      </c>
      <c r="C252" s="74">
        <f>+'[1]Global'!AC70</f>
        <v>0</v>
      </c>
      <c r="D252" s="74">
        <f>+'[1]Global'!AC70</f>
        <v>0</v>
      </c>
      <c r="E252" s="20">
        <v>0</v>
      </c>
      <c r="F252" s="20">
        <v>-100</v>
      </c>
    </row>
    <row r="253" spans="2:6" ht="17.25">
      <c r="B253" s="54" t="s">
        <v>144</v>
      </c>
      <c r="C253" s="87">
        <v>1500</v>
      </c>
      <c r="D253" s="87">
        <f>+'[1]Global'!AM70</f>
        <v>1500</v>
      </c>
      <c r="E253" s="88">
        <v>1500</v>
      </c>
      <c r="F253" s="88">
        <v>2840</v>
      </c>
    </row>
    <row r="254" spans="2:6" ht="15">
      <c r="B254" s="54"/>
      <c r="C254" s="82"/>
      <c r="D254" s="56"/>
      <c r="E254" s="57"/>
      <c r="F254" s="57"/>
    </row>
    <row r="255" spans="2:6" ht="15">
      <c r="B255" s="58" t="s">
        <v>28</v>
      </c>
      <c r="C255" s="74">
        <f>SUM(C243:C254)</f>
        <v>159090</v>
      </c>
      <c r="D255" s="74">
        <f>SUM(D243:D254)</f>
        <v>141746.86</v>
      </c>
      <c r="E255" s="74">
        <f>SUM(E243:E254)</f>
        <v>159090</v>
      </c>
      <c r="F255" s="74">
        <f>SUM(F243:F254)</f>
        <v>186362.53</v>
      </c>
    </row>
    <row r="256" spans="2:6" ht="15">
      <c r="B256" s="51" t="s">
        <v>62</v>
      </c>
      <c r="C256" s="52"/>
      <c r="D256" s="52"/>
      <c r="E256" s="89"/>
      <c r="F256" s="89"/>
    </row>
    <row r="257" spans="2:6" ht="15">
      <c r="B257" s="54" t="s">
        <v>145</v>
      </c>
      <c r="C257" s="74">
        <v>8085</v>
      </c>
      <c r="D257" s="74">
        <v>11720</v>
      </c>
      <c r="E257" s="20">
        <v>8085</v>
      </c>
      <c r="F257" s="20">
        <v>402.8</v>
      </c>
    </row>
    <row r="258" spans="2:6" ht="15">
      <c r="B258" s="54" t="s">
        <v>134</v>
      </c>
      <c r="C258" s="74">
        <v>128650</v>
      </c>
      <c r="D258" s="74">
        <f>+D243-10000</f>
        <v>102156.86</v>
      </c>
      <c r="E258" s="20">
        <v>128650</v>
      </c>
      <c r="F258" s="20">
        <v>104654.17</v>
      </c>
    </row>
    <row r="259" spans="2:6" ht="15">
      <c r="B259" s="54" t="s">
        <v>146</v>
      </c>
      <c r="C259" s="74">
        <v>600</v>
      </c>
      <c r="D259" s="74">
        <v>135</v>
      </c>
      <c r="E259" s="20">
        <v>600</v>
      </c>
      <c r="F259" s="20">
        <v>150.02</v>
      </c>
    </row>
    <row r="260" spans="2:6" ht="15">
      <c r="B260" s="54" t="s">
        <v>135</v>
      </c>
      <c r="C260" s="74">
        <v>10000</v>
      </c>
      <c r="D260" s="74">
        <f>'[1]Global'!AD146</f>
        <v>10000</v>
      </c>
      <c r="E260" s="20">
        <v>10000</v>
      </c>
      <c r="F260" s="20">
        <v>2017.61</v>
      </c>
    </row>
    <row r="261" spans="2:6" ht="15">
      <c r="B261" s="54" t="s">
        <v>136</v>
      </c>
      <c r="C261" s="74">
        <v>2600</v>
      </c>
      <c r="D261" s="74">
        <v>3663</v>
      </c>
      <c r="E261" s="20">
        <v>2600</v>
      </c>
      <c r="F261" s="20">
        <v>1635.31</v>
      </c>
    </row>
    <row r="262" spans="2:6" ht="15">
      <c r="B262" s="54" t="s">
        <v>137</v>
      </c>
      <c r="C262" s="74">
        <v>2140</v>
      </c>
      <c r="D262" s="74">
        <f>+'[1]Global'!AF146</f>
        <v>2139.996336</v>
      </c>
      <c r="E262" s="20">
        <v>2140</v>
      </c>
      <c r="F262" s="20">
        <v>3032.81</v>
      </c>
    </row>
    <row r="263" spans="2:6" ht="15">
      <c r="B263" s="54" t="s">
        <v>147</v>
      </c>
      <c r="C263" s="74">
        <v>2200</v>
      </c>
      <c r="D263" s="74">
        <f>+'[1]Global'!AH146</f>
        <v>2200</v>
      </c>
      <c r="E263" s="20">
        <v>2200</v>
      </c>
      <c r="F263" s="20">
        <v>1910.33</v>
      </c>
    </row>
    <row r="264" spans="2:6" ht="15">
      <c r="B264" s="54" t="s">
        <v>138</v>
      </c>
      <c r="C264" s="74">
        <v>3000</v>
      </c>
      <c r="D264" s="74">
        <v>3000</v>
      </c>
      <c r="E264" s="20">
        <v>3000</v>
      </c>
      <c r="F264" s="20">
        <v>5289.9</v>
      </c>
    </row>
    <row r="265" spans="2:6" ht="15">
      <c r="B265" s="54" t="s">
        <v>139</v>
      </c>
      <c r="C265" s="74">
        <v>4610</v>
      </c>
      <c r="D265" s="74">
        <f>+'[1]Global'!AJ146</f>
        <v>4610</v>
      </c>
      <c r="E265" s="20">
        <v>4610</v>
      </c>
      <c r="F265" s="20">
        <v>2309.44</v>
      </c>
    </row>
    <row r="266" spans="2:6" ht="15">
      <c r="B266" s="54" t="s">
        <v>140</v>
      </c>
      <c r="C266" s="74">
        <v>16450</v>
      </c>
      <c r="D266" s="74">
        <f>+'[1]Global'!AK37+'[1]Global'!AK146+1000</f>
        <v>17450.0034</v>
      </c>
      <c r="E266" s="20">
        <v>16450</v>
      </c>
      <c r="F266" s="20">
        <v>28158.46</v>
      </c>
    </row>
    <row r="267" spans="2:6" ht="15">
      <c r="B267" s="54" t="s">
        <v>142</v>
      </c>
      <c r="C267" s="74">
        <v>300</v>
      </c>
      <c r="D267" s="74">
        <v>325</v>
      </c>
      <c r="E267" s="20">
        <v>300</v>
      </c>
      <c r="F267" s="20">
        <v>175.5</v>
      </c>
    </row>
    <row r="268" spans="2:6" ht="15">
      <c r="B268" s="54" t="s">
        <v>148</v>
      </c>
      <c r="C268" s="74"/>
      <c r="D268" s="74">
        <v>20000</v>
      </c>
      <c r="E268" s="20">
        <v>0</v>
      </c>
      <c r="F268" s="20">
        <v>0</v>
      </c>
    </row>
    <row r="269" spans="2:6" ht="15">
      <c r="B269" s="54" t="s">
        <v>141</v>
      </c>
      <c r="C269" s="74">
        <v>0</v>
      </c>
      <c r="D269" s="74">
        <f>'[1]Global'!AN146</f>
        <v>0</v>
      </c>
      <c r="E269" s="20">
        <v>0</v>
      </c>
      <c r="F269" s="20">
        <v>46844.06</v>
      </c>
    </row>
    <row r="270" spans="2:6" ht="15">
      <c r="B270" s="83" t="s">
        <v>143</v>
      </c>
      <c r="C270" s="74">
        <v>0</v>
      </c>
      <c r="D270" s="74">
        <f>+'[1]Global'!AC146</f>
        <v>0</v>
      </c>
      <c r="E270" s="20">
        <v>0</v>
      </c>
      <c r="F270" s="20">
        <v>1.08</v>
      </c>
    </row>
    <row r="271" spans="2:6" ht="17.25">
      <c r="B271" s="83" t="s">
        <v>144</v>
      </c>
      <c r="C271" s="87">
        <v>3250</v>
      </c>
      <c r="D271" s="87">
        <f>+'[1]Global'!AM146</f>
        <v>3250</v>
      </c>
      <c r="E271" s="88">
        <v>3250</v>
      </c>
      <c r="F271" s="88">
        <v>6616.65</v>
      </c>
    </row>
    <row r="272" spans="2:6" ht="15">
      <c r="B272" s="54"/>
      <c r="C272" s="82"/>
      <c r="D272" s="75"/>
      <c r="E272" s="21"/>
      <c r="F272" s="21"/>
    </row>
    <row r="273" spans="2:6" ht="15">
      <c r="B273" s="58" t="s">
        <v>35</v>
      </c>
      <c r="C273" s="74">
        <f>SUM(C257:C272)</f>
        <v>181885</v>
      </c>
      <c r="D273" s="74">
        <f>SUM(D257:D272)</f>
        <v>180649.859736</v>
      </c>
      <c r="E273" s="74">
        <f>SUM(E257:E272)</f>
        <v>181885</v>
      </c>
      <c r="F273" s="74">
        <f>SUM(F257:F272)</f>
        <v>203198.13999999998</v>
      </c>
    </row>
    <row r="274" spans="2:6" ht="15">
      <c r="B274" s="58"/>
      <c r="C274" s="91"/>
      <c r="D274" s="91"/>
      <c r="E274" s="91"/>
      <c r="F274" s="91"/>
    </row>
    <row r="275" spans="2:6" ht="15">
      <c r="B275" s="51" t="s">
        <v>78</v>
      </c>
      <c r="C275" s="92">
        <f>C255-C273</f>
        <v>-22795</v>
      </c>
      <c r="D275" s="93">
        <f>D255-D273</f>
        <v>-38902.99973600003</v>
      </c>
      <c r="E275" s="93">
        <f>E255-E273</f>
        <v>-22795</v>
      </c>
      <c r="F275" s="93">
        <f>F255-F273</f>
        <v>-16835.609999999986</v>
      </c>
    </row>
    <row r="277" ht="12.75">
      <c r="C277" s="43" t="s">
        <v>1</v>
      </c>
    </row>
    <row r="278" spans="3:5" ht="12.75">
      <c r="C278" s="44" t="s">
        <v>3</v>
      </c>
      <c r="D278" s="5" t="s">
        <v>2</v>
      </c>
      <c r="E278" s="6" t="s">
        <v>1</v>
      </c>
    </row>
    <row r="279" spans="3:6" ht="15">
      <c r="C279" s="7" t="s">
        <v>6</v>
      </c>
      <c r="D279" s="8" t="s">
        <v>4</v>
      </c>
      <c r="E279" s="7" t="s">
        <v>3</v>
      </c>
      <c r="F279" s="8" t="s">
        <v>5</v>
      </c>
    </row>
    <row r="280" spans="3:6" ht="15">
      <c r="C280" s="7" t="s">
        <v>8</v>
      </c>
      <c r="D280" s="8" t="s">
        <v>8</v>
      </c>
      <c r="E280" s="7" t="s">
        <v>8</v>
      </c>
      <c r="F280" s="8" t="s">
        <v>9</v>
      </c>
    </row>
    <row r="281" spans="2:6" ht="15">
      <c r="B281" s="54" t="s">
        <v>149</v>
      </c>
      <c r="C281" s="82"/>
      <c r="D281" s="83"/>
      <c r="E281" s="54"/>
      <c r="F281" s="54"/>
    </row>
    <row r="282" spans="2:6" ht="15">
      <c r="B282" s="51" t="s">
        <v>57</v>
      </c>
      <c r="C282" s="52"/>
      <c r="D282" s="53"/>
      <c r="E282" s="51"/>
      <c r="F282" s="51"/>
    </row>
    <row r="283" spans="2:6" ht="15">
      <c r="B283" s="54" t="s">
        <v>150</v>
      </c>
      <c r="C283" s="82">
        <f>+C69</f>
        <v>17842.67</v>
      </c>
      <c r="D283" s="55">
        <f>D7</f>
        <v>17773.28</v>
      </c>
      <c r="E283" s="47">
        <v>17842.67</v>
      </c>
      <c r="F283" s="47">
        <v>17473</v>
      </c>
    </row>
    <row r="284" spans="2:6" ht="15">
      <c r="B284" s="54" t="s">
        <v>151</v>
      </c>
      <c r="C284" s="55">
        <v>80000</v>
      </c>
      <c r="D284" s="55">
        <v>70000</v>
      </c>
      <c r="E284" s="47">
        <v>80000</v>
      </c>
      <c r="F284" s="47">
        <v>83731.24</v>
      </c>
    </row>
    <row r="285" spans="2:6" ht="15">
      <c r="B285" s="54" t="s">
        <v>152</v>
      </c>
      <c r="C285" s="56">
        <v>0</v>
      </c>
      <c r="D285" s="56">
        <f>+'[1]Global'!AO53+'[1]Global'!AO67</f>
        <v>0</v>
      </c>
      <c r="E285" s="57">
        <v>0</v>
      </c>
      <c r="F285" s="57">
        <v>3803</v>
      </c>
    </row>
    <row r="286" spans="2:6" ht="15">
      <c r="B286" s="58" t="s">
        <v>28</v>
      </c>
      <c r="C286" s="55">
        <f>SUM(C283:C285)</f>
        <v>97842.67</v>
      </c>
      <c r="D286" s="55">
        <f>SUM(D283:D285)</f>
        <v>87773.28</v>
      </c>
      <c r="E286" s="55">
        <f>SUM(E283:E285)</f>
        <v>97842.67</v>
      </c>
      <c r="F286" s="55">
        <f>SUM(F283:F285)</f>
        <v>105007.24</v>
      </c>
    </row>
    <row r="287" spans="2:6" ht="15">
      <c r="B287" s="51" t="s">
        <v>62</v>
      </c>
      <c r="C287" s="52"/>
      <c r="D287" s="53"/>
      <c r="E287" s="51"/>
      <c r="F287" s="51"/>
    </row>
    <row r="288" spans="2:6" ht="15">
      <c r="B288" s="54" t="s">
        <v>153</v>
      </c>
      <c r="C288" s="55">
        <v>15500</v>
      </c>
      <c r="D288" s="55">
        <v>16800</v>
      </c>
      <c r="E288" s="47">
        <v>15500</v>
      </c>
      <c r="F288" s="47">
        <v>16772.63</v>
      </c>
    </row>
    <row r="289" spans="2:6" ht="15">
      <c r="B289" s="54" t="s">
        <v>154</v>
      </c>
      <c r="C289" s="55">
        <v>85000</v>
      </c>
      <c r="D289" s="55">
        <v>77000</v>
      </c>
      <c r="E289" s="47">
        <v>85000</v>
      </c>
      <c r="F289" s="47">
        <v>77138.97</v>
      </c>
    </row>
    <row r="290" spans="2:6" ht="15">
      <c r="B290" s="54" t="s">
        <v>112</v>
      </c>
      <c r="C290" s="55">
        <v>2500</v>
      </c>
      <c r="D290" s="55">
        <f>+'[1]Global'!AO101</f>
        <v>2500</v>
      </c>
      <c r="E290" s="47">
        <v>2500</v>
      </c>
      <c r="F290" s="47">
        <v>2388.05</v>
      </c>
    </row>
    <row r="291" spans="2:6" ht="15">
      <c r="B291" s="54" t="s">
        <v>101</v>
      </c>
      <c r="C291" s="55">
        <v>0</v>
      </c>
      <c r="D291" s="55">
        <v>0</v>
      </c>
      <c r="E291" s="47">
        <v>0</v>
      </c>
      <c r="F291" s="47">
        <v>0</v>
      </c>
    </row>
    <row r="292" spans="2:6" ht="15">
      <c r="B292" s="54" t="s">
        <v>114</v>
      </c>
      <c r="C292" s="56">
        <v>3042.67</v>
      </c>
      <c r="D292" s="56">
        <f>+'[1]Global'!AO73+'[1]Global'!AO76+'[1]Global'!AO77+'[1]Global'!AO79+'[1]Global'!AO80+'[1]Global'!AO85+'[1]Global'!AO100+'[1]Global'!AO104+'[1]Global'!AO119+'[1]Global'!AO138</f>
        <v>3042.66</v>
      </c>
      <c r="E292" s="57">
        <v>3042.67</v>
      </c>
      <c r="F292" s="57">
        <v>1776.71</v>
      </c>
    </row>
    <row r="293" spans="2:6" ht="15">
      <c r="B293" s="58" t="s">
        <v>71</v>
      </c>
      <c r="C293" s="55">
        <f>SUM(C288:C292)</f>
        <v>106042.67</v>
      </c>
      <c r="D293" s="55">
        <f>SUM(D288:D292)</f>
        <v>99342.66</v>
      </c>
      <c r="E293" s="55">
        <f>SUM(E288:E292)</f>
        <v>106042.67</v>
      </c>
      <c r="F293" s="55">
        <f>SUM(F288:F292)</f>
        <v>98076.36000000002</v>
      </c>
    </row>
    <row r="294" spans="2:6" ht="15">
      <c r="B294" s="58"/>
      <c r="C294" s="59"/>
      <c r="D294" s="59"/>
      <c r="E294" s="59"/>
      <c r="F294" s="59"/>
    </row>
    <row r="295" spans="2:6" ht="15">
      <c r="B295" s="51" t="s">
        <v>36</v>
      </c>
      <c r="C295" s="94">
        <f>C286-C293</f>
        <v>-8200</v>
      </c>
      <c r="D295" s="95">
        <f>D286-D293</f>
        <v>-11569.380000000005</v>
      </c>
      <c r="E295" s="95">
        <f>E286-E293</f>
        <v>-8200</v>
      </c>
      <c r="F295" s="95">
        <f>F286-F293</f>
        <v>6930.87999999999</v>
      </c>
    </row>
    <row r="296" spans="2:6" ht="15">
      <c r="B296" s="51"/>
      <c r="C296" s="52"/>
      <c r="D296" s="53"/>
      <c r="E296" s="51"/>
      <c r="F296" s="51"/>
    </row>
    <row r="297" spans="2:6" ht="15">
      <c r="B297" s="54" t="s">
        <v>155</v>
      </c>
      <c r="C297" s="82"/>
      <c r="D297" s="83"/>
      <c r="E297" s="54"/>
      <c r="F297" s="54"/>
    </row>
    <row r="298" spans="2:6" ht="15">
      <c r="B298" s="51" t="s">
        <v>156</v>
      </c>
      <c r="C298" s="52"/>
      <c r="D298" s="76"/>
      <c r="E298" s="77"/>
      <c r="F298" s="77"/>
    </row>
    <row r="299" spans="2:6" ht="15">
      <c r="B299" s="54" t="s">
        <v>151</v>
      </c>
      <c r="C299" s="75">
        <v>70000</v>
      </c>
      <c r="D299" s="75">
        <f>+'[1]Global'!AP70</f>
        <v>70000</v>
      </c>
      <c r="E299" s="21">
        <v>70000</v>
      </c>
      <c r="F299" s="21">
        <v>58285</v>
      </c>
    </row>
    <row r="300" spans="2:6" ht="15">
      <c r="B300" s="58" t="s">
        <v>28</v>
      </c>
      <c r="C300" s="74">
        <f>C299</f>
        <v>70000</v>
      </c>
      <c r="D300" s="74">
        <f>D299</f>
        <v>70000</v>
      </c>
      <c r="E300" s="74">
        <f>E299</f>
        <v>70000</v>
      </c>
      <c r="F300" s="74">
        <f>F299</f>
        <v>58285</v>
      </c>
    </row>
    <row r="301" spans="2:6" ht="15">
      <c r="B301" s="51" t="s">
        <v>62</v>
      </c>
      <c r="C301" s="52"/>
      <c r="D301" s="96"/>
      <c r="E301" s="97"/>
      <c r="F301" s="97"/>
    </row>
    <row r="302" spans="2:6" ht="15">
      <c r="B302" s="54" t="s">
        <v>153</v>
      </c>
      <c r="C302" s="74">
        <v>2230</v>
      </c>
      <c r="D302" s="74">
        <f>+'[1]Global'!AP102+'[1]Global'!AP125+'[1]Global'!AP131+'[1]Global'!AP132+'[1]Global'!AP133+'[1]Global'!AP134</f>
        <v>2944.6607500000005</v>
      </c>
      <c r="E302" s="20">
        <v>2230</v>
      </c>
      <c r="F302" s="20">
        <v>2722.4</v>
      </c>
    </row>
    <row r="303" spans="2:6" ht="15">
      <c r="B303" s="54" t="s">
        <v>157</v>
      </c>
      <c r="C303" s="74">
        <v>4460</v>
      </c>
      <c r="D303" s="74">
        <f>+'[1]Global'!AP128</f>
        <v>4250</v>
      </c>
      <c r="E303" s="20">
        <v>4460</v>
      </c>
      <c r="F303" s="20">
        <v>5180</v>
      </c>
    </row>
    <row r="304" spans="2:6" ht="15">
      <c r="B304" s="54" t="s">
        <v>154</v>
      </c>
      <c r="C304" s="74">
        <v>29000</v>
      </c>
      <c r="D304" s="74">
        <f>+'[1]Global'!AP79+'[1]Global'!AP81-2000</f>
        <v>27000</v>
      </c>
      <c r="E304" s="20">
        <v>29000</v>
      </c>
      <c r="F304" s="20">
        <v>28000</v>
      </c>
    </row>
    <row r="305" spans="2:6" ht="15">
      <c r="B305" s="54" t="s">
        <v>112</v>
      </c>
      <c r="C305" s="74">
        <v>2500</v>
      </c>
      <c r="D305" s="74">
        <f>+'[1]Global'!AP101</f>
        <v>2500</v>
      </c>
      <c r="E305" s="20">
        <v>2500</v>
      </c>
      <c r="F305" s="20">
        <v>2388.05</v>
      </c>
    </row>
    <row r="306" spans="2:6" ht="15">
      <c r="B306" s="54" t="s">
        <v>158</v>
      </c>
      <c r="C306" s="74">
        <v>1310</v>
      </c>
      <c r="D306" s="74"/>
      <c r="E306" s="20">
        <v>1310</v>
      </c>
      <c r="F306" s="20"/>
    </row>
    <row r="307" spans="2:6" ht="15">
      <c r="B307" s="54" t="s">
        <v>159</v>
      </c>
      <c r="C307" s="74">
        <v>0</v>
      </c>
      <c r="D307" s="74">
        <f>+'[1]Global'!AP110</f>
        <v>0</v>
      </c>
      <c r="E307" s="20">
        <v>0</v>
      </c>
      <c r="F307" s="20">
        <v>1490.44</v>
      </c>
    </row>
    <row r="308" spans="2:6" ht="15">
      <c r="B308" s="54" t="s">
        <v>114</v>
      </c>
      <c r="C308" s="75">
        <v>500</v>
      </c>
      <c r="D308" s="75">
        <f>+'[1]Global'!AP80+'[1]Global'!AP85</f>
        <v>1305.34</v>
      </c>
      <c r="E308" s="21">
        <v>500</v>
      </c>
      <c r="F308" s="21">
        <v>216.69</v>
      </c>
    </row>
    <row r="309" spans="2:6" ht="15">
      <c r="B309" s="58" t="s">
        <v>71</v>
      </c>
      <c r="C309" s="74">
        <f>SUM(C302:C308)</f>
        <v>40000</v>
      </c>
      <c r="D309" s="74">
        <f>SUM(D302:D308)</f>
        <v>38000.00075</v>
      </c>
      <c r="E309" s="74">
        <f>SUM(E302:E308)</f>
        <v>40000</v>
      </c>
      <c r="F309" s="74">
        <f>SUM(F302:F308)</f>
        <v>39997.58000000001</v>
      </c>
    </row>
    <row r="310" spans="2:6" ht="15">
      <c r="B310" s="58"/>
      <c r="C310" s="98"/>
      <c r="D310" s="98"/>
      <c r="E310" s="98"/>
      <c r="F310" s="98"/>
    </row>
    <row r="311" spans="2:6" ht="15">
      <c r="B311" s="51" t="s">
        <v>36</v>
      </c>
      <c r="C311" s="96">
        <f>C299-C309</f>
        <v>30000</v>
      </c>
      <c r="D311" s="96">
        <f>D299-D309</f>
        <v>31999.99925</v>
      </c>
      <c r="E311" s="96">
        <f>E299-E309</f>
        <v>30000</v>
      </c>
      <c r="F311" s="96">
        <f>F299-F309</f>
        <v>18287.41999999999</v>
      </c>
    </row>
    <row r="312" spans="2:6" ht="15">
      <c r="B312" s="54"/>
      <c r="C312" s="82"/>
      <c r="D312" s="83"/>
      <c r="E312" s="54"/>
      <c r="F312" s="54"/>
    </row>
    <row r="313" spans="2:6" ht="15">
      <c r="B313" s="54" t="s">
        <v>160</v>
      </c>
      <c r="C313" s="82"/>
      <c r="D313" s="83"/>
      <c r="E313" s="54"/>
      <c r="F313" s="54"/>
    </row>
    <row r="314" spans="2:6" ht="15">
      <c r="B314" s="51" t="s">
        <v>57</v>
      </c>
      <c r="C314" s="52"/>
      <c r="D314" s="76"/>
      <c r="E314" s="77"/>
      <c r="F314" s="77"/>
    </row>
    <row r="315" spans="2:6" ht="15">
      <c r="B315" s="54" t="s">
        <v>161</v>
      </c>
      <c r="C315" s="75">
        <v>38195</v>
      </c>
      <c r="D315" s="75">
        <v>35180</v>
      </c>
      <c r="E315" s="21">
        <v>38195</v>
      </c>
      <c r="F315" s="21">
        <v>87025.77</v>
      </c>
    </row>
    <row r="316" spans="2:6" ht="15">
      <c r="B316" s="58" t="s">
        <v>28</v>
      </c>
      <c r="C316" s="74">
        <f>C315</f>
        <v>38195</v>
      </c>
      <c r="D316" s="74">
        <f>D315</f>
        <v>35180</v>
      </c>
      <c r="E316" s="74">
        <f>E315</f>
        <v>38195</v>
      </c>
      <c r="F316" s="74">
        <f>F315</f>
        <v>87025.77</v>
      </c>
    </row>
    <row r="317" spans="2:6" ht="15">
      <c r="B317" s="51" t="s">
        <v>62</v>
      </c>
      <c r="C317" s="96"/>
      <c r="D317" s="96"/>
      <c r="E317" s="97"/>
      <c r="F317" s="97"/>
    </row>
    <row r="318" spans="2:6" ht="15">
      <c r="B318" s="54" t="s">
        <v>162</v>
      </c>
      <c r="C318" s="74">
        <v>2420</v>
      </c>
      <c r="D318" s="74">
        <f>+'[1]Global'!AR102+'[1]Global'!AR131+'[1]Global'!AR132+'[1]Global'!AR133+'[1]Global'!AR134</f>
        <v>2420.002</v>
      </c>
      <c r="E318" s="20">
        <v>2420</v>
      </c>
      <c r="F318" s="20">
        <v>3017.9</v>
      </c>
    </row>
    <row r="319" spans="2:6" ht="15">
      <c r="B319" s="54" t="s">
        <v>157</v>
      </c>
      <c r="C319" s="74">
        <v>0</v>
      </c>
      <c r="D319" s="74">
        <f>+'[1]Global'!AR120</f>
        <v>0</v>
      </c>
      <c r="E319" s="20">
        <v>0</v>
      </c>
      <c r="F319" s="20">
        <v>26442.94</v>
      </c>
    </row>
    <row r="320" spans="2:6" ht="15">
      <c r="B320" s="54" t="s">
        <v>154</v>
      </c>
      <c r="C320" s="74">
        <v>35000</v>
      </c>
      <c r="D320" s="74">
        <f>+'[1]Global'!AR79+43000-38195</f>
        <v>39805</v>
      </c>
      <c r="E320" s="20">
        <v>35000</v>
      </c>
      <c r="F320" s="20">
        <v>15155.97</v>
      </c>
    </row>
    <row r="321" spans="2:6" ht="15">
      <c r="B321" s="54" t="s">
        <v>112</v>
      </c>
      <c r="C321" s="74">
        <v>625</v>
      </c>
      <c r="D321" s="74">
        <f>+'[1]Global'!AR101</f>
        <v>625</v>
      </c>
      <c r="E321" s="20">
        <v>625</v>
      </c>
      <c r="F321" s="20">
        <v>599.46</v>
      </c>
    </row>
    <row r="322" spans="2:6" ht="15">
      <c r="B322" s="54" t="s">
        <v>159</v>
      </c>
      <c r="C322" s="74">
        <v>0</v>
      </c>
      <c r="D322" s="74">
        <f>+'[1]Global'!AR110</f>
        <v>0</v>
      </c>
      <c r="E322" s="20">
        <v>0</v>
      </c>
      <c r="F322" s="20">
        <v>1097.32</v>
      </c>
    </row>
    <row r="323" spans="2:6" ht="15">
      <c r="B323" s="11" t="s">
        <v>114</v>
      </c>
      <c r="C323" s="75">
        <v>150</v>
      </c>
      <c r="D323" s="75">
        <f>+'[1]Global'!AR80+'[1]Global'!AR85</f>
        <v>150</v>
      </c>
      <c r="E323" s="21">
        <v>150</v>
      </c>
      <c r="F323" s="21">
        <v>283.48</v>
      </c>
    </row>
    <row r="324" spans="2:6" ht="15">
      <c r="B324" s="17" t="s">
        <v>35</v>
      </c>
      <c r="C324" s="74">
        <f>SUM(C318:C323)</f>
        <v>38195</v>
      </c>
      <c r="D324" s="74">
        <f>SUM(D318:D323)</f>
        <v>43000.002</v>
      </c>
      <c r="E324" s="74">
        <f>SUM(E318:E323)</f>
        <v>38195</v>
      </c>
      <c r="F324" s="74">
        <f>SUM(F318:F323)</f>
        <v>46597.07</v>
      </c>
    </row>
    <row r="325" spans="2:6" ht="15">
      <c r="B325" s="17"/>
      <c r="C325" s="18"/>
      <c r="D325" s="18"/>
      <c r="E325" s="18"/>
      <c r="F325" s="18"/>
    </row>
    <row r="326" spans="2:6" ht="15">
      <c r="B326" s="24" t="s">
        <v>36</v>
      </c>
      <c r="C326" s="49">
        <f>C316-C324</f>
        <v>0</v>
      </c>
      <c r="D326" s="49">
        <f>D316-D324</f>
        <v>-7820.002</v>
      </c>
      <c r="E326" s="49">
        <f>E316-E324</f>
        <v>0</v>
      </c>
      <c r="F326" s="49">
        <f>F316-F324</f>
        <v>40428.700000000004</v>
      </c>
    </row>
    <row r="327" spans="2:6" ht="15">
      <c r="B327" s="24"/>
      <c r="C327" s="49"/>
      <c r="D327" s="49"/>
      <c r="E327" s="39"/>
      <c r="F327" s="39"/>
    </row>
    <row r="328" spans="2:3" ht="15">
      <c r="B328" s="24"/>
      <c r="C328" s="43" t="s">
        <v>1</v>
      </c>
    </row>
    <row r="329" spans="3:5" ht="12.75">
      <c r="C329" s="44" t="s">
        <v>3</v>
      </c>
      <c r="D329" s="5" t="s">
        <v>2</v>
      </c>
      <c r="E329" s="6" t="s">
        <v>1</v>
      </c>
    </row>
    <row r="330" spans="2:6" ht="15">
      <c r="B330" s="11" t="s">
        <v>197</v>
      </c>
      <c r="C330" s="7" t="s">
        <v>6</v>
      </c>
      <c r="D330" s="8" t="s">
        <v>4</v>
      </c>
      <c r="E330" s="7" t="s">
        <v>3</v>
      </c>
      <c r="F330" s="8" t="s">
        <v>5</v>
      </c>
    </row>
    <row r="331" spans="3:6" ht="15">
      <c r="C331" s="7" t="s">
        <v>8</v>
      </c>
      <c r="D331" s="8" t="s">
        <v>8</v>
      </c>
      <c r="E331" s="7" t="s">
        <v>8</v>
      </c>
      <c r="F331" s="8" t="s">
        <v>9</v>
      </c>
    </row>
    <row r="332" spans="2:6" ht="15.75" customHeight="1">
      <c r="B332" s="51" t="s">
        <v>57</v>
      </c>
      <c r="C332" s="52"/>
      <c r="D332" s="53"/>
      <c r="E332" s="51"/>
      <c r="F332" s="51"/>
    </row>
    <row r="333" spans="2:6" ht="15">
      <c r="B333" s="11" t="s">
        <v>163</v>
      </c>
      <c r="C333" s="12">
        <f>C286-C283</f>
        <v>80000</v>
      </c>
      <c r="D333" s="12">
        <f>D286-D283</f>
        <v>70000</v>
      </c>
      <c r="E333" s="13">
        <v>80000</v>
      </c>
      <c r="F333" s="13">
        <v>87534.24</v>
      </c>
    </row>
    <row r="334" spans="2:6" ht="15">
      <c r="B334" s="11" t="s">
        <v>164</v>
      </c>
      <c r="C334" s="12">
        <f>C300</f>
        <v>70000</v>
      </c>
      <c r="D334" s="12">
        <f>D300</f>
        <v>70000</v>
      </c>
      <c r="E334" s="13">
        <v>70000</v>
      </c>
      <c r="F334" s="13">
        <v>58285</v>
      </c>
    </row>
    <row r="335" spans="2:6" ht="15">
      <c r="B335" s="11" t="s">
        <v>165</v>
      </c>
      <c r="C335" s="99">
        <f>C316</f>
        <v>38195</v>
      </c>
      <c r="D335" s="99">
        <f>+D316</f>
        <v>35180</v>
      </c>
      <c r="E335" s="100">
        <v>38195</v>
      </c>
      <c r="F335" s="100">
        <v>87025.77</v>
      </c>
    </row>
    <row r="336" spans="2:6" ht="15">
      <c r="B336" s="54" t="s">
        <v>121</v>
      </c>
      <c r="C336" s="56">
        <v>35000</v>
      </c>
      <c r="D336" s="106">
        <f>+'[1]Global'!AB70</f>
        <v>35000</v>
      </c>
      <c r="E336" s="107">
        <v>35000</v>
      </c>
      <c r="F336" s="107">
        <v>46256.93</v>
      </c>
    </row>
    <row r="337" spans="2:6" ht="15">
      <c r="B337" s="11" t="s">
        <v>166</v>
      </c>
      <c r="C337" s="15">
        <v>2000</v>
      </c>
      <c r="D337" s="15">
        <v>1200</v>
      </c>
      <c r="E337" s="16">
        <v>2000</v>
      </c>
      <c r="F337" s="16">
        <v>2500</v>
      </c>
    </row>
    <row r="338" spans="2:6" ht="15">
      <c r="B338" s="58" t="s">
        <v>28</v>
      </c>
      <c r="C338" s="74">
        <f>SUM(C333:C337)</f>
        <v>225195</v>
      </c>
      <c r="D338" s="74">
        <f>SUM(D333:D337)</f>
        <v>211380</v>
      </c>
      <c r="E338" s="74">
        <f>SUM(E333:E337)</f>
        <v>225195</v>
      </c>
      <c r="F338" s="74">
        <f>SUM(F333:F337)</f>
        <v>281601.94</v>
      </c>
    </row>
    <row r="339" spans="2:6" ht="15">
      <c r="B339" s="51" t="s">
        <v>62</v>
      </c>
      <c r="C339" s="52"/>
      <c r="D339" s="52"/>
      <c r="E339" s="89"/>
      <c r="F339" s="89"/>
    </row>
    <row r="340" spans="2:6" ht="15">
      <c r="B340" s="11" t="s">
        <v>167</v>
      </c>
      <c r="C340" s="12">
        <f>C293</f>
        <v>106042.67</v>
      </c>
      <c r="D340" s="12">
        <f>D293</f>
        <v>99342.66</v>
      </c>
      <c r="E340" s="13">
        <v>106042.67</v>
      </c>
      <c r="F340" s="13">
        <v>98076.36</v>
      </c>
    </row>
    <row r="341" spans="2:6" ht="15">
      <c r="B341" s="11" t="s">
        <v>164</v>
      </c>
      <c r="C341" s="12">
        <f>C309</f>
        <v>40000</v>
      </c>
      <c r="D341" s="12">
        <f>+D309</f>
        <v>38000.00075</v>
      </c>
      <c r="E341" s="13">
        <v>40000</v>
      </c>
      <c r="F341" s="13">
        <v>39997.58</v>
      </c>
    </row>
    <row r="342" spans="2:6" ht="15">
      <c r="B342" s="11" t="s">
        <v>165</v>
      </c>
      <c r="C342" s="12">
        <f>C324</f>
        <v>38195</v>
      </c>
      <c r="D342" s="12">
        <f>+D324</f>
        <v>43000.002</v>
      </c>
      <c r="E342" s="13">
        <v>38195</v>
      </c>
      <c r="F342" s="13">
        <v>46597.07</v>
      </c>
    </row>
    <row r="343" spans="2:6" ht="15">
      <c r="B343" s="54" t="s">
        <v>123</v>
      </c>
      <c r="C343" s="84">
        <v>7200</v>
      </c>
      <c r="D343" s="84">
        <v>7370</v>
      </c>
      <c r="E343" s="85">
        <v>7200</v>
      </c>
      <c r="F343" s="85">
        <v>15535.95</v>
      </c>
    </row>
    <row r="344" spans="2:6" ht="15">
      <c r="B344" s="54" t="s">
        <v>121</v>
      </c>
      <c r="C344" s="84">
        <v>35000</v>
      </c>
      <c r="D344" s="84">
        <v>33000</v>
      </c>
      <c r="E344" s="85">
        <v>35000</v>
      </c>
      <c r="F344" s="85">
        <v>36122.76</v>
      </c>
    </row>
    <row r="345" spans="2:6" ht="17.25">
      <c r="B345" s="11" t="s">
        <v>168</v>
      </c>
      <c r="C345" s="101">
        <v>2000</v>
      </c>
      <c r="D345" s="101">
        <v>5200</v>
      </c>
      <c r="E345" s="90">
        <v>2000</v>
      </c>
      <c r="F345" s="90">
        <v>599.53</v>
      </c>
    </row>
    <row r="346" spans="2:6" ht="15">
      <c r="B346" s="17" t="s">
        <v>35</v>
      </c>
      <c r="C346" s="12">
        <f>SUM(C340:C345)</f>
        <v>228437.66999999998</v>
      </c>
      <c r="D346" s="12">
        <f>SUM(D340:D345)</f>
        <v>225912.66275000002</v>
      </c>
      <c r="E346" s="12">
        <f>SUM(E340:E345)</f>
        <v>228437.66999999998</v>
      </c>
      <c r="F346" s="12">
        <f>SUM(F340:F345)</f>
        <v>236929.25000000003</v>
      </c>
    </row>
    <row r="347" spans="4:6" ht="12.75">
      <c r="D347" s="22"/>
      <c r="E347" s="22"/>
      <c r="F347" s="22"/>
    </row>
    <row r="348" spans="2:6" ht="15">
      <c r="B348" s="24" t="s">
        <v>36</v>
      </c>
      <c r="C348" s="102">
        <f>C338-C346</f>
        <v>-3242.6699999999837</v>
      </c>
      <c r="D348" s="49">
        <f>D338-D346</f>
        <v>-14532.662750000018</v>
      </c>
      <c r="E348" s="49">
        <f>E338-E346</f>
        <v>-3242.6699999999837</v>
      </c>
      <c r="F348" s="49">
        <f>F338-F346</f>
        <v>44672.68999999997</v>
      </c>
    </row>
    <row r="349" spans="2:6" ht="15">
      <c r="B349" s="24"/>
      <c r="C349" s="49"/>
      <c r="D349" s="49"/>
      <c r="E349" s="39"/>
      <c r="F349" s="39"/>
    </row>
    <row r="350" spans="2:3" ht="15">
      <c r="B350" s="24"/>
      <c r="C350" s="43" t="s">
        <v>1</v>
      </c>
    </row>
    <row r="351" spans="3:5" ht="12.75">
      <c r="C351" s="44" t="s">
        <v>3</v>
      </c>
      <c r="D351" s="5" t="s">
        <v>2</v>
      </c>
      <c r="E351" s="6" t="s">
        <v>1</v>
      </c>
    </row>
    <row r="352" spans="2:6" ht="14.25" customHeight="1">
      <c r="B352" s="11" t="s">
        <v>169</v>
      </c>
      <c r="C352" s="7" t="s">
        <v>6</v>
      </c>
      <c r="D352" s="8" t="s">
        <v>4</v>
      </c>
      <c r="E352" s="7" t="s">
        <v>3</v>
      </c>
      <c r="F352" s="8" t="s">
        <v>5</v>
      </c>
    </row>
    <row r="353" spans="3:6" ht="12.75" customHeight="1">
      <c r="C353" s="7" t="s">
        <v>8</v>
      </c>
      <c r="D353" s="8" t="s">
        <v>8</v>
      </c>
      <c r="E353" s="7" t="s">
        <v>8</v>
      </c>
      <c r="F353" s="8" t="s">
        <v>9</v>
      </c>
    </row>
    <row r="354" spans="2:6" ht="15">
      <c r="B354" s="51" t="s">
        <v>117</v>
      </c>
      <c r="C354" s="52"/>
      <c r="D354" s="53"/>
      <c r="E354" s="51"/>
      <c r="F354" s="51"/>
    </row>
    <row r="355" spans="2:6" ht="15">
      <c r="B355" s="103" t="s">
        <v>170</v>
      </c>
      <c r="C355" s="74">
        <v>3050</v>
      </c>
      <c r="D355" s="74">
        <v>8839.38</v>
      </c>
      <c r="E355" s="74">
        <v>3050</v>
      </c>
      <c r="F355" s="74">
        <v>2283.75</v>
      </c>
    </row>
    <row r="356" spans="2:6" ht="15">
      <c r="B356" s="103" t="s">
        <v>171</v>
      </c>
      <c r="C356" s="74">
        <v>79150</v>
      </c>
      <c r="D356" s="74">
        <f>+'[1]Global'!AT70</f>
        <v>79150</v>
      </c>
      <c r="E356" s="74">
        <v>79150</v>
      </c>
      <c r="F356" s="74">
        <v>69220.9</v>
      </c>
    </row>
    <row r="357" spans="2:6" ht="15">
      <c r="B357" s="104" t="s">
        <v>172</v>
      </c>
      <c r="C357" s="74">
        <v>15000</v>
      </c>
      <c r="D357" s="74">
        <f>+'[1]Global'!AU52+'[1]Global'!AU56+2000</f>
        <v>16195</v>
      </c>
      <c r="E357" s="20">
        <v>15000</v>
      </c>
      <c r="F357" s="20">
        <v>25386.44</v>
      </c>
    </row>
    <row r="358" spans="2:6" ht="15">
      <c r="B358" s="104" t="s">
        <v>173</v>
      </c>
      <c r="C358" s="74">
        <v>500</v>
      </c>
      <c r="D358" s="74">
        <f>+'[1]Global'!AV56</f>
        <v>2200</v>
      </c>
      <c r="E358" s="20">
        <v>500</v>
      </c>
      <c r="F358" s="20">
        <v>474.02</v>
      </c>
    </row>
    <row r="359" spans="2:6" ht="15">
      <c r="B359" s="104" t="s">
        <v>174</v>
      </c>
      <c r="C359" s="74">
        <v>16208</v>
      </c>
      <c r="D359" s="74">
        <f>+'[1]Global'!AX70</f>
        <v>15908</v>
      </c>
      <c r="E359" s="20">
        <v>16208</v>
      </c>
      <c r="F359" s="20">
        <v>17531.44</v>
      </c>
    </row>
    <row r="360" spans="2:6" ht="15">
      <c r="B360" s="104" t="s">
        <v>175</v>
      </c>
      <c r="C360" s="74">
        <v>5800</v>
      </c>
      <c r="D360" s="74">
        <f>+'[1]Global'!AY56+'[1]Global'!AY67</f>
        <v>5800</v>
      </c>
      <c r="E360" s="20">
        <v>5800</v>
      </c>
      <c r="F360" s="20">
        <v>5800</v>
      </c>
    </row>
    <row r="361" spans="2:6" ht="15">
      <c r="B361" s="104" t="s">
        <v>176</v>
      </c>
      <c r="C361" s="74">
        <v>0</v>
      </c>
      <c r="D361" s="74">
        <f>+'[1]Global'!AZ56</f>
        <v>0</v>
      </c>
      <c r="E361" s="20">
        <v>0</v>
      </c>
      <c r="F361" s="20">
        <v>295</v>
      </c>
    </row>
    <row r="362" spans="2:6" ht="15">
      <c r="B362" s="104" t="s">
        <v>177</v>
      </c>
      <c r="C362" s="74">
        <v>3000</v>
      </c>
      <c r="D362" s="74">
        <f>+'[1]Global'!BA50+'[1]Global'!BA56+'[1]Global'!BA63</f>
        <v>3000</v>
      </c>
      <c r="E362" s="20">
        <v>3000</v>
      </c>
      <c r="F362" s="20">
        <v>5053.01</v>
      </c>
    </row>
    <row r="363" spans="2:6" ht="15">
      <c r="B363" s="104" t="s">
        <v>178</v>
      </c>
      <c r="C363" s="74">
        <v>2500</v>
      </c>
      <c r="D363" s="74">
        <f>+'[1]Global'!BB56</f>
        <v>2500</v>
      </c>
      <c r="E363" s="20">
        <v>2500</v>
      </c>
      <c r="F363" s="20">
        <v>5822.91</v>
      </c>
    </row>
    <row r="364" spans="2:6" ht="15">
      <c r="B364" s="104" t="s">
        <v>179</v>
      </c>
      <c r="C364" s="74">
        <v>30000</v>
      </c>
      <c r="D364" s="74">
        <f>+'[1]Global'!BC70</f>
        <v>30000</v>
      </c>
      <c r="E364" s="20">
        <v>30000</v>
      </c>
      <c r="F364" s="20">
        <v>22594.12</v>
      </c>
    </row>
    <row r="365" spans="2:6" ht="15">
      <c r="B365" s="104" t="s">
        <v>180</v>
      </c>
      <c r="C365" s="74">
        <v>500</v>
      </c>
      <c r="D365" s="74">
        <f>+'[1]Global'!BE56</f>
        <v>500</v>
      </c>
      <c r="E365" s="20">
        <v>500</v>
      </c>
      <c r="F365" s="20">
        <v>918</v>
      </c>
    </row>
    <row r="366" spans="2:6" ht="15">
      <c r="B366" s="104" t="s">
        <v>181</v>
      </c>
      <c r="C366" s="74">
        <v>25675</v>
      </c>
      <c r="D366" s="74">
        <f>+'[1]Global'!BF70</f>
        <v>25675</v>
      </c>
      <c r="E366" s="20">
        <v>25675</v>
      </c>
      <c r="F366" s="20">
        <v>17549.41</v>
      </c>
    </row>
    <row r="367" spans="2:6" ht="15">
      <c r="B367" s="104" t="s">
        <v>182</v>
      </c>
      <c r="C367" s="74">
        <v>0</v>
      </c>
      <c r="D367" s="74">
        <f>+'[1]Global'!BG56</f>
        <v>0</v>
      </c>
      <c r="E367" s="20">
        <v>0</v>
      </c>
      <c r="F367" s="20">
        <v>99.83</v>
      </c>
    </row>
    <row r="368" spans="2:6" ht="15">
      <c r="B368" s="104" t="s">
        <v>183</v>
      </c>
      <c r="C368" s="74">
        <v>0</v>
      </c>
      <c r="D368" s="74">
        <f>+'[1]Global'!BH70</f>
        <v>0</v>
      </c>
      <c r="E368" s="20">
        <v>0</v>
      </c>
      <c r="F368" s="20">
        <v>0</v>
      </c>
    </row>
    <row r="369" spans="2:6" ht="15">
      <c r="B369" s="104" t="s">
        <v>184</v>
      </c>
      <c r="C369" s="74">
        <v>0</v>
      </c>
      <c r="D369" s="74">
        <v>0</v>
      </c>
      <c r="E369" s="20">
        <v>0</v>
      </c>
      <c r="F369" s="20">
        <v>0</v>
      </c>
    </row>
    <row r="370" spans="2:6" ht="15">
      <c r="B370" s="104" t="s">
        <v>185</v>
      </c>
      <c r="C370" s="75">
        <v>1000</v>
      </c>
      <c r="D370" s="75">
        <f>+'[1]Global'!BJ70+'[1]Global'!BJ22</f>
        <v>1000</v>
      </c>
      <c r="E370" s="21">
        <v>1000</v>
      </c>
      <c r="F370" s="21">
        <v>4469.85</v>
      </c>
    </row>
    <row r="371" spans="2:6" ht="15">
      <c r="B371" s="105" t="s">
        <v>28</v>
      </c>
      <c r="C371" s="74">
        <f>SUM(C355:C370)</f>
        <v>182383</v>
      </c>
      <c r="D371" s="74">
        <f>SUM(D355:D370)</f>
        <v>190767.38</v>
      </c>
      <c r="E371" s="74">
        <f>SUM(E355:E370)</f>
        <v>182383</v>
      </c>
      <c r="F371" s="74">
        <f>SUM(F355:F370)</f>
        <v>177498.68</v>
      </c>
    </row>
    <row r="372" spans="2:6" ht="15">
      <c r="B372" s="51" t="s">
        <v>62</v>
      </c>
      <c r="C372" s="52"/>
      <c r="D372" s="96"/>
      <c r="E372" s="97"/>
      <c r="F372" s="97"/>
    </row>
    <row r="373" spans="2:6" ht="15">
      <c r="B373" s="103" t="s">
        <v>170</v>
      </c>
      <c r="C373" s="106">
        <v>7900</v>
      </c>
      <c r="D373" s="106">
        <v>10350</v>
      </c>
      <c r="E373" s="106">
        <v>7900</v>
      </c>
      <c r="F373" s="106">
        <v>1442.47</v>
      </c>
    </row>
    <row r="374" spans="2:6" ht="15">
      <c r="B374" s="103" t="s">
        <v>171</v>
      </c>
      <c r="C374" s="106">
        <v>79150</v>
      </c>
      <c r="D374" s="106">
        <f>+'[1]Global'!AT146</f>
        <v>79150</v>
      </c>
      <c r="E374" s="106">
        <v>79150</v>
      </c>
      <c r="F374" s="106">
        <v>70858.64</v>
      </c>
    </row>
    <row r="375" spans="2:6" ht="15">
      <c r="B375" s="104" t="s">
        <v>172</v>
      </c>
      <c r="C375" s="106">
        <v>25496.59</v>
      </c>
      <c r="D375" s="106">
        <f>+'[1]Global'!AU146+2000</f>
        <v>31589.258499999996</v>
      </c>
      <c r="E375" s="107">
        <v>25496.59</v>
      </c>
      <c r="F375" s="107">
        <v>32211.24</v>
      </c>
    </row>
    <row r="376" spans="2:6" ht="15">
      <c r="B376" s="104" t="s">
        <v>173</v>
      </c>
      <c r="C376" s="106">
        <v>44834.02</v>
      </c>
      <c r="D376" s="106">
        <f>+'[1]Global'!AV146</f>
        <v>46238.313029107696</v>
      </c>
      <c r="E376" s="107">
        <v>44834.02</v>
      </c>
      <c r="F376" s="107">
        <v>38895.21</v>
      </c>
    </row>
    <row r="377" spans="2:6" ht="15">
      <c r="B377" s="104" t="s">
        <v>186</v>
      </c>
      <c r="C377" s="106">
        <v>0</v>
      </c>
      <c r="D377" s="106">
        <f>+'[1]Global'!AW146</f>
        <v>0</v>
      </c>
      <c r="E377" s="107">
        <v>0</v>
      </c>
      <c r="F377" s="107">
        <v>386.28</v>
      </c>
    </row>
    <row r="378" spans="2:6" ht="15">
      <c r="B378" s="104" t="s">
        <v>174</v>
      </c>
      <c r="C378" s="106">
        <v>16208</v>
      </c>
      <c r="D378" s="106">
        <f>+D359</f>
        <v>15908</v>
      </c>
      <c r="E378" s="107">
        <v>16208</v>
      </c>
      <c r="F378" s="107">
        <v>17608.64</v>
      </c>
    </row>
    <row r="379" spans="2:6" ht="15">
      <c r="B379" s="103" t="s">
        <v>175</v>
      </c>
      <c r="C379" s="106">
        <v>9711.58</v>
      </c>
      <c r="D379" s="106">
        <f>+'[1]Global'!AY146+2980.88-600</f>
        <v>12175.880000000001</v>
      </c>
      <c r="E379" s="107">
        <v>9711.58</v>
      </c>
      <c r="F379" s="107">
        <v>8861.88</v>
      </c>
    </row>
    <row r="380" spans="2:6" ht="15">
      <c r="B380" s="104" t="s">
        <v>176</v>
      </c>
      <c r="C380" s="106">
        <v>29336.73</v>
      </c>
      <c r="D380" s="106">
        <f>+'[1]Global'!AZ146</f>
        <v>29962.236962406016</v>
      </c>
      <c r="E380" s="107">
        <v>29336.73</v>
      </c>
      <c r="F380" s="107">
        <v>22631.85</v>
      </c>
    </row>
    <row r="381" spans="2:6" ht="15">
      <c r="B381" s="104" t="s">
        <v>177</v>
      </c>
      <c r="C381" s="106">
        <v>38472.25</v>
      </c>
      <c r="D381" s="106">
        <f>+'[1]Global'!BA146</f>
        <v>38269.64730000001</v>
      </c>
      <c r="E381" s="107">
        <v>38472.25</v>
      </c>
      <c r="F381" s="107">
        <v>39790.13</v>
      </c>
    </row>
    <row r="382" spans="2:6" ht="15">
      <c r="B382" s="104" t="s">
        <v>178</v>
      </c>
      <c r="C382" s="106">
        <v>26467.8</v>
      </c>
      <c r="D382" s="106">
        <f>+'[1]Global'!BB146-4450</f>
        <v>14130.765714285713</v>
      </c>
      <c r="E382" s="107">
        <v>26467.8</v>
      </c>
      <c r="F382" s="107">
        <v>12878.47</v>
      </c>
    </row>
    <row r="383" spans="2:6" ht="15">
      <c r="B383" s="104" t="s">
        <v>179</v>
      </c>
      <c r="C383" s="106">
        <v>30100</v>
      </c>
      <c r="D383" s="106">
        <f>+'[1]Global'!BC146</f>
        <v>30100</v>
      </c>
      <c r="E383" s="107">
        <v>30100</v>
      </c>
      <c r="F383" s="107">
        <v>22609.75</v>
      </c>
    </row>
    <row r="384" spans="2:6" ht="15">
      <c r="B384" s="104" t="s">
        <v>187</v>
      </c>
      <c r="C384" s="106">
        <v>500</v>
      </c>
      <c r="D384" s="106">
        <f>+'[1]Global'!BD146</f>
        <v>500</v>
      </c>
      <c r="E384" s="107">
        <v>500</v>
      </c>
      <c r="F384" s="107">
        <v>199.42</v>
      </c>
    </row>
    <row r="385" spans="2:6" ht="15">
      <c r="B385" s="104" t="s">
        <v>180</v>
      </c>
      <c r="C385" s="106">
        <v>12915.27</v>
      </c>
      <c r="D385" s="106">
        <f>+'[1]Global'!BE146</f>
        <v>12844.382999999996</v>
      </c>
      <c r="E385" s="107">
        <v>12915.27</v>
      </c>
      <c r="F385" s="107">
        <v>7597.67</v>
      </c>
    </row>
    <row r="386" spans="2:6" ht="15">
      <c r="B386" s="104" t="s">
        <v>181</v>
      </c>
      <c r="C386" s="106">
        <v>29675</v>
      </c>
      <c r="D386" s="106">
        <f>+'[1]Global'!BF146</f>
        <v>29675</v>
      </c>
      <c r="E386" s="107">
        <v>29675</v>
      </c>
      <c r="F386" s="107">
        <v>24572.35</v>
      </c>
    </row>
    <row r="387" spans="2:6" ht="15">
      <c r="B387" s="104" t="s">
        <v>182</v>
      </c>
      <c r="C387" s="106">
        <v>6649.65</v>
      </c>
      <c r="D387" s="106">
        <f>+'[1]Global'!BG146</f>
        <v>6791.4366666666665</v>
      </c>
      <c r="E387" s="107">
        <v>6649.65</v>
      </c>
      <c r="F387" s="107">
        <v>5830.47</v>
      </c>
    </row>
    <row r="388" spans="2:6" ht="15">
      <c r="B388" s="104" t="s">
        <v>183</v>
      </c>
      <c r="C388" s="106">
        <v>4000</v>
      </c>
      <c r="D388" s="106">
        <v>6000</v>
      </c>
      <c r="E388" s="107">
        <v>4000</v>
      </c>
      <c r="F388" s="107">
        <v>4499.48</v>
      </c>
    </row>
    <row r="389" spans="2:6" ht="15">
      <c r="B389" s="104" t="s">
        <v>188</v>
      </c>
      <c r="C389" s="106">
        <v>800</v>
      </c>
      <c r="D389" s="106">
        <f>+'[1]Global'!BI146</f>
        <v>800</v>
      </c>
      <c r="E389" s="107">
        <v>800</v>
      </c>
      <c r="F389" s="107">
        <v>769.8</v>
      </c>
    </row>
    <row r="390" spans="2:6" ht="15">
      <c r="B390" s="104" t="s">
        <v>185</v>
      </c>
      <c r="C390" s="108">
        <v>3000</v>
      </c>
      <c r="D390" s="108">
        <v>5000</v>
      </c>
      <c r="E390" s="109">
        <v>3000</v>
      </c>
      <c r="F390" s="109">
        <v>7875.58</v>
      </c>
    </row>
    <row r="391" spans="2:6" ht="15">
      <c r="B391" s="105" t="s">
        <v>35</v>
      </c>
      <c r="C391" s="74">
        <f>SUM(C373:C390)</f>
        <v>365216.89</v>
      </c>
      <c r="D391" s="74">
        <f>SUM(D373:D390)</f>
        <v>369484.92117246607</v>
      </c>
      <c r="E391" s="74">
        <f>SUM(E373:E390)</f>
        <v>365216.89</v>
      </c>
      <c r="F391" s="74">
        <f>SUM(F373:F390)</f>
        <v>319519.3299999999</v>
      </c>
    </row>
    <row r="392" spans="3:6" ht="12.75">
      <c r="C392" s="110"/>
      <c r="D392" s="22"/>
      <c r="E392" s="22"/>
      <c r="F392" s="22"/>
    </row>
    <row r="393" spans="2:6" ht="15">
      <c r="B393" s="111" t="s">
        <v>36</v>
      </c>
      <c r="C393" s="95">
        <f>C371-C391</f>
        <v>-182833.89</v>
      </c>
      <c r="D393" s="95">
        <f>D371-D391</f>
        <v>-178717.54117246607</v>
      </c>
      <c r="E393" s="95">
        <f>E371-E391</f>
        <v>-182833.89</v>
      </c>
      <c r="F393" s="95">
        <f>F371-F391</f>
        <v>-142020.6499999999</v>
      </c>
    </row>
  </sheetData>
  <printOptions/>
  <pageMargins left="0.75" right="0.75" top="1" bottom="1" header="0.5" footer="0.5"/>
  <pageSetup horizontalDpi="600" verticalDpi="600" orientation="portrait" paperSize="5" scale="70" r:id="rId3"/>
  <rowBreaks count="5" manualBreakCount="5">
    <brk id="72" max="7" man="1"/>
    <brk id="134" max="7" man="1"/>
    <brk id="202" max="5" man="1"/>
    <brk id="275" max="5" man="1"/>
    <brk id="348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steven.tamas</dc:creator>
  <cp:keywords/>
  <dc:description/>
  <cp:lastModifiedBy>operations</cp:lastModifiedBy>
  <cp:lastPrinted>2009-11-12T22:53:38Z</cp:lastPrinted>
  <dcterms:created xsi:type="dcterms:W3CDTF">2009-11-12T16:58:48Z</dcterms:created>
  <dcterms:modified xsi:type="dcterms:W3CDTF">2009-11-26T00:52:34Z</dcterms:modified>
  <cp:category/>
  <cp:version/>
  <cp:contentType/>
  <cp:contentStatus/>
</cp:coreProperties>
</file>